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5\28_objava ES_popravki AN_20250707\"/>
    </mc:Choice>
  </mc:AlternateContent>
  <xr:revisionPtr revIDLastSave="0" documentId="13_ncr:1_{BF0A7C2A-60BE-4846-993B-BD7090D472B8}" xr6:coauthVersionLast="47" xr6:coauthVersionMax="47" xr10:uidLastSave="{00000000-0000-0000-0000-000000000000}"/>
  <bookViews>
    <workbookView xWindow="25080" yWindow="-120" windowWidth="25440" windowHeight="1527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 2025" sheetId="10" r:id="rId5"/>
  </sheets>
  <definedNames>
    <definedName name="_xlnm._FilterDatabase" localSheetId="4" hidden="1">'AN 2025'!$A$3:$P$90</definedName>
    <definedName name="_xlnm.Print_Area" localSheetId="4">'AN 2025'!$A$3:$P$77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0" l="1"/>
  <c r="N88" i="10" l="1"/>
  <c r="N87" i="10" s="1"/>
  <c r="O88" i="10"/>
  <c r="O87" i="10" s="1"/>
  <c r="M88" i="10"/>
  <c r="M87" i="10" s="1"/>
  <c r="O90" i="10"/>
  <c r="N90" i="10"/>
  <c r="M90" i="10"/>
  <c r="L89" i="10"/>
  <c r="K89" i="10"/>
  <c r="O31" i="10"/>
  <c r="M31" i="10"/>
  <c r="N46" i="10" l="1"/>
  <c r="H8" i="10" l="1"/>
  <c r="M46" i="10" l="1"/>
  <c r="O57" i="10"/>
  <c r="N49" i="10"/>
  <c r="I49" i="10"/>
  <c r="G49" i="10" s="1"/>
  <c r="M49" i="10"/>
  <c r="M53" i="10"/>
  <c r="N53" i="10"/>
  <c r="O53" i="10"/>
  <c r="O10" i="10" l="1"/>
  <c r="N23" i="10"/>
  <c r="I10" i="10" l="1"/>
  <c r="O36" i="10" l="1"/>
  <c r="N36" i="10"/>
  <c r="M36" i="10"/>
  <c r="O27" i="10"/>
  <c r="N27" i="10"/>
  <c r="M27" i="10"/>
  <c r="O52" i="10"/>
  <c r="N52" i="10"/>
  <c r="M52" i="10"/>
  <c r="O49" i="10"/>
  <c r="O37" i="10"/>
  <c r="N37" i="10"/>
  <c r="M37" i="10"/>
  <c r="O28" i="10"/>
  <c r="N28" i="10"/>
  <c r="M28" i="10"/>
  <c r="M23" i="10"/>
  <c r="O23" i="10"/>
  <c r="O11" i="10"/>
  <c r="N11" i="10"/>
  <c r="M11" i="10"/>
  <c r="O77" i="10"/>
  <c r="N77" i="10"/>
  <c r="M77" i="10"/>
  <c r="O60" i="10"/>
  <c r="M60" i="10"/>
  <c r="N60" i="10"/>
  <c r="N57" i="10"/>
  <c r="M57" i="10"/>
  <c r="O32" i="10"/>
  <c r="N32" i="10"/>
  <c r="M32" i="10"/>
  <c r="O20" i="10"/>
  <c r="N20" i="10"/>
  <c r="M20" i="10"/>
  <c r="O22" i="10"/>
  <c r="N22" i="10"/>
  <c r="M22" i="10"/>
  <c r="O43" i="10" l="1"/>
  <c r="N43" i="10"/>
  <c r="M43" i="10"/>
  <c r="O41" i="10"/>
  <c r="N41" i="10"/>
  <c r="N40" i="10"/>
  <c r="M41" i="10"/>
  <c r="M40" i="10"/>
  <c r="O40" i="10"/>
  <c r="O38" i="10" l="1"/>
  <c r="N38" i="10"/>
  <c r="M38" i="10"/>
  <c r="O13" i="10" l="1"/>
  <c r="N13" i="10"/>
  <c r="M13" i="10"/>
  <c r="N76" i="10" l="1"/>
  <c r="M76" i="10"/>
  <c r="N59" i="10"/>
  <c r="N58" i="10" s="1"/>
  <c r="M59" i="10"/>
  <c r="M58" i="10" s="1"/>
  <c r="N51" i="10"/>
  <c r="M45" i="10"/>
  <c r="M51" i="10"/>
  <c r="M48" i="10"/>
  <c r="O42" i="10"/>
  <c r="N42" i="10"/>
  <c r="N39" i="10" s="1"/>
  <c r="M42" i="10"/>
  <c r="M39" i="10"/>
  <c r="N35" i="10"/>
  <c r="O25" i="10"/>
  <c r="O24" i="10" s="1"/>
  <c r="N25" i="10"/>
  <c r="N24" i="10" s="1"/>
  <c r="M21" i="10"/>
  <c r="O12" i="10"/>
  <c r="N12" i="10"/>
  <c r="M12" i="10"/>
  <c r="M7" i="10" s="1"/>
  <c r="O19" i="10"/>
  <c r="N19" i="10"/>
  <c r="M19" i="10"/>
  <c r="H89" i="10"/>
  <c r="L87" i="10"/>
  <c r="K87" i="10"/>
  <c r="J88" i="10"/>
  <c r="J87" i="10" s="1"/>
  <c r="J85" i="10" s="1"/>
  <c r="J84" i="10" s="1"/>
  <c r="J82" i="10" s="1"/>
  <c r="J81" i="10" s="1"/>
  <c r="J80" i="10" s="1"/>
  <c r="I88" i="10"/>
  <c r="I87" i="10" s="1"/>
  <c r="G88" i="10"/>
  <c r="G87" i="10" s="1"/>
  <c r="O85" i="10"/>
  <c r="O84" i="10" s="1"/>
  <c r="N85" i="10"/>
  <c r="N84" i="10" s="1"/>
  <c r="M85" i="10"/>
  <c r="M84" i="10" s="1"/>
  <c r="L85" i="10"/>
  <c r="L84" i="10" s="1"/>
  <c r="K85" i="10"/>
  <c r="K84" i="10" s="1"/>
  <c r="I85" i="10"/>
  <c r="I84" i="10" s="1"/>
  <c r="H85" i="10"/>
  <c r="H84" i="10" s="1"/>
  <c r="G85" i="10"/>
  <c r="G84" i="10" s="1"/>
  <c r="O82" i="10"/>
  <c r="O81" i="10" s="1"/>
  <c r="N82" i="10"/>
  <c r="N81" i="10" s="1"/>
  <c r="M82" i="10"/>
  <c r="M81" i="10" s="1"/>
  <c r="L82" i="10"/>
  <c r="L81" i="10" s="1"/>
  <c r="K82" i="10"/>
  <c r="K81" i="10" s="1"/>
  <c r="I82" i="10"/>
  <c r="I81" i="10" s="1"/>
  <c r="H82" i="10"/>
  <c r="H81" i="10" s="1"/>
  <c r="G82" i="10"/>
  <c r="G81" i="10" s="1"/>
  <c r="I79" i="10"/>
  <c r="G79" i="10" s="1"/>
  <c r="G78" i="10" s="1"/>
  <c r="O78" i="10"/>
  <c r="N78" i="10"/>
  <c r="M78" i="10"/>
  <c r="L78" i="10"/>
  <c r="K78" i="10"/>
  <c r="J78" i="10"/>
  <c r="H78" i="10"/>
  <c r="I77" i="10"/>
  <c r="G77" i="10" s="1"/>
  <c r="G76" i="10" s="1"/>
  <c r="O76" i="10"/>
  <c r="L76" i="10"/>
  <c r="K76" i="10"/>
  <c r="J76" i="10"/>
  <c r="H76" i="10"/>
  <c r="I74" i="10"/>
  <c r="I73" i="10" s="1"/>
  <c r="O73" i="10"/>
  <c r="N73" i="10"/>
  <c r="M73" i="10"/>
  <c r="L73" i="10"/>
  <c r="K73" i="10"/>
  <c r="J73" i="10"/>
  <c r="H73" i="10"/>
  <c r="I72" i="10"/>
  <c r="G72" i="10" s="1"/>
  <c r="I71" i="10"/>
  <c r="O70" i="10"/>
  <c r="N70" i="10"/>
  <c r="M70" i="10"/>
  <c r="L70" i="10"/>
  <c r="K70" i="10"/>
  <c r="J70" i="10"/>
  <c r="H70" i="10"/>
  <c r="I69" i="10"/>
  <c r="I68" i="10" s="1"/>
  <c r="O68" i="10"/>
  <c r="N68" i="10"/>
  <c r="M68" i="10"/>
  <c r="L68" i="10"/>
  <c r="K68" i="10"/>
  <c r="J68" i="10"/>
  <c r="H68" i="10"/>
  <c r="I67" i="10"/>
  <c r="G67" i="10" s="1"/>
  <c r="O67" i="10" s="1"/>
  <c r="I66" i="10"/>
  <c r="G66" i="10" s="1"/>
  <c r="O66" i="10" s="1"/>
  <c r="I65" i="10"/>
  <c r="G65" i="10" s="1"/>
  <c r="I64" i="10"/>
  <c r="G64" i="10" s="1"/>
  <c r="N63" i="10"/>
  <c r="M63" i="10"/>
  <c r="L63" i="10"/>
  <c r="K63" i="10"/>
  <c r="J63" i="10"/>
  <c r="H63" i="10"/>
  <c r="O59" i="10"/>
  <c r="O58" i="10" s="1"/>
  <c r="L59" i="10"/>
  <c r="L58" i="10" s="1"/>
  <c r="K59" i="10"/>
  <c r="K58" i="10" s="1"/>
  <c r="J59" i="10"/>
  <c r="J58" i="10" s="1"/>
  <c r="I59" i="10"/>
  <c r="I58" i="10" s="1"/>
  <c r="H59" i="10"/>
  <c r="H58" i="10" s="1"/>
  <c r="G59" i="10"/>
  <c r="G58" i="10" s="1"/>
  <c r="I57" i="10"/>
  <c r="I56" i="10"/>
  <c r="G56" i="10" s="1"/>
  <c r="O55" i="10"/>
  <c r="N55" i="10"/>
  <c r="M55" i="10"/>
  <c r="L55" i="10"/>
  <c r="K55" i="10"/>
  <c r="J55" i="10"/>
  <c r="H55" i="10"/>
  <c r="I54" i="10"/>
  <c r="G54" i="10" s="1"/>
  <c r="I53" i="10"/>
  <c r="G53" i="10" s="1"/>
  <c r="I52" i="10"/>
  <c r="L51" i="10"/>
  <c r="K51" i="10"/>
  <c r="J51" i="10"/>
  <c r="H51" i="10"/>
  <c r="I50" i="10"/>
  <c r="G50" i="10" s="1"/>
  <c r="L48" i="10"/>
  <c r="K48" i="10"/>
  <c r="J48" i="10"/>
  <c r="H48" i="10"/>
  <c r="I47" i="10"/>
  <c r="G47" i="10" s="1"/>
  <c r="I46" i="10"/>
  <c r="G46" i="10" s="1"/>
  <c r="O45" i="10"/>
  <c r="N45" i="10"/>
  <c r="L45" i="10"/>
  <c r="K45" i="10"/>
  <c r="J45" i="10"/>
  <c r="H45" i="10"/>
  <c r="I44" i="10"/>
  <c r="G44" i="10" s="1"/>
  <c r="I43" i="10"/>
  <c r="G43" i="10" s="1"/>
  <c r="I42" i="10"/>
  <c r="G42" i="10" s="1"/>
  <c r="I41" i="10"/>
  <c r="G41" i="10" s="1"/>
  <c r="I40" i="10"/>
  <c r="G40" i="10" s="1"/>
  <c r="L39" i="10"/>
  <c r="K39" i="10"/>
  <c r="J39" i="10"/>
  <c r="H39" i="10"/>
  <c r="I38" i="10"/>
  <c r="G38" i="10" s="1"/>
  <c r="I37" i="10"/>
  <c r="G37" i="10" s="1"/>
  <c r="I36" i="10"/>
  <c r="G36" i="10" s="1"/>
  <c r="M35" i="10"/>
  <c r="L35" i="10"/>
  <c r="K35" i="10"/>
  <c r="J35" i="10"/>
  <c r="H35" i="10"/>
  <c r="O30" i="10"/>
  <c r="O29" i="10" s="1"/>
  <c r="N30" i="10"/>
  <c r="N29" i="10" s="1"/>
  <c r="M30" i="10"/>
  <c r="M29" i="10" s="1"/>
  <c r="L30" i="10"/>
  <c r="L29" i="10" s="1"/>
  <c r="K30" i="10"/>
  <c r="K29" i="10" s="1"/>
  <c r="J30" i="10"/>
  <c r="J29" i="10" s="1"/>
  <c r="I30" i="10"/>
  <c r="I29" i="10" s="1"/>
  <c r="H30" i="10"/>
  <c r="H29" i="10" s="1"/>
  <c r="G30" i="10"/>
  <c r="G29" i="10" s="1"/>
  <c r="I28" i="10"/>
  <c r="G28" i="10" s="1"/>
  <c r="I27" i="10"/>
  <c r="G27" i="10" s="1"/>
  <c r="I26" i="10"/>
  <c r="G26" i="10" s="1"/>
  <c r="M25" i="10"/>
  <c r="M24" i="10" s="1"/>
  <c r="L25" i="10"/>
  <c r="L24" i="10" s="1"/>
  <c r="K25" i="10"/>
  <c r="K24" i="10" s="1"/>
  <c r="J25" i="10"/>
  <c r="J24" i="10" s="1"/>
  <c r="H25" i="10"/>
  <c r="H24" i="10" s="1"/>
  <c r="I23" i="10"/>
  <c r="G23" i="10" s="1"/>
  <c r="I22" i="10"/>
  <c r="G22" i="10" s="1"/>
  <c r="O21" i="10"/>
  <c r="N21" i="10"/>
  <c r="L21" i="10"/>
  <c r="K21" i="10"/>
  <c r="J21" i="10"/>
  <c r="H21" i="10"/>
  <c r="I20" i="10"/>
  <c r="I19" i="10" s="1"/>
  <c r="L19" i="10"/>
  <c r="K19" i="10"/>
  <c r="J19" i="10"/>
  <c r="H19" i="10"/>
  <c r="O16" i="10"/>
  <c r="I18" i="10"/>
  <c r="G18" i="10" s="1"/>
  <c r="I17" i="10"/>
  <c r="N16" i="10"/>
  <c r="M16" i="10"/>
  <c r="L16" i="10"/>
  <c r="K16" i="10"/>
  <c r="J16" i="10"/>
  <c r="H16" i="10"/>
  <c r="I15" i="10"/>
  <c r="G15" i="10" s="1"/>
  <c r="I13" i="10"/>
  <c r="G13" i="10" s="1"/>
  <c r="I12" i="10"/>
  <c r="G12" i="10" s="1"/>
  <c r="I11" i="10"/>
  <c r="G11" i="10" s="1"/>
  <c r="G10" i="10"/>
  <c r="I9" i="10"/>
  <c r="G9" i="10" s="1"/>
  <c r="I8" i="10"/>
  <c r="G8" i="10" s="1"/>
  <c r="L7" i="10"/>
  <c r="K7" i="10"/>
  <c r="J7" i="10"/>
  <c r="H7" i="10"/>
  <c r="O63" i="10" l="1"/>
  <c r="H88" i="10"/>
  <c r="H87" i="10" s="1"/>
  <c r="H90" i="10"/>
  <c r="I16" i="10"/>
  <c r="L80" i="10"/>
  <c r="G74" i="10"/>
  <c r="G73" i="10" s="1"/>
  <c r="N80" i="10"/>
  <c r="G25" i="10"/>
  <c r="G24" i="10" s="1"/>
  <c r="G45" i="10"/>
  <c r="G21" i="10"/>
  <c r="O80" i="10"/>
  <c r="I70" i="10"/>
  <c r="I80" i="10"/>
  <c r="G17" i="10"/>
  <c r="G16" i="10" s="1"/>
  <c r="I63" i="10"/>
  <c r="J62" i="10"/>
  <c r="K80" i="10"/>
  <c r="I78" i="10"/>
  <c r="J34" i="10"/>
  <c r="J33" i="10" s="1"/>
  <c r="H80" i="10"/>
  <c r="H75" i="10"/>
  <c r="H62" i="10"/>
  <c r="G20" i="10"/>
  <c r="G19" i="10" s="1"/>
  <c r="M75" i="10"/>
  <c r="K75" i="10"/>
  <c r="N75" i="10"/>
  <c r="I76" i="10"/>
  <c r="L62" i="10"/>
  <c r="L75" i="10"/>
  <c r="M62" i="10"/>
  <c r="G48" i="10"/>
  <c r="N62" i="10"/>
  <c r="K62" i="10"/>
  <c r="G75" i="10"/>
  <c r="I21" i="10"/>
  <c r="G71" i="10"/>
  <c r="G70" i="10" s="1"/>
  <c r="I55" i="10"/>
  <c r="H6" i="10"/>
  <c r="H5" i="10" s="1"/>
  <c r="J6" i="10"/>
  <c r="J5" i="10" s="1"/>
  <c r="M80" i="10"/>
  <c r="G69" i="10"/>
  <c r="G68" i="10" s="1"/>
  <c r="G80" i="10"/>
  <c r="O75" i="10"/>
  <c r="G57" i="10"/>
  <c r="G55" i="10" s="1"/>
  <c r="I51" i="10"/>
  <c r="G52" i="10"/>
  <c r="G51" i="10" s="1"/>
  <c r="G35" i="10"/>
  <c r="I35" i="10"/>
  <c r="O51" i="10"/>
  <c r="O48" i="10"/>
  <c r="N48" i="10"/>
  <c r="N34" i="10" s="1"/>
  <c r="N33" i="10" s="1"/>
  <c r="K34" i="10"/>
  <c r="K33" i="10" s="1"/>
  <c r="O39" i="10"/>
  <c r="L34" i="10"/>
  <c r="L33" i="10" s="1"/>
  <c r="O35" i="10"/>
  <c r="M34" i="10"/>
  <c r="M33" i="10" s="1"/>
  <c r="N7" i="10"/>
  <c r="N6" i="10" s="1"/>
  <c r="N5" i="10" s="1"/>
  <c r="O7" i="10"/>
  <c r="O6" i="10" s="1"/>
  <c r="O5" i="10" s="1"/>
  <c r="L6" i="10"/>
  <c r="L5" i="10" s="1"/>
  <c r="K6" i="10"/>
  <c r="K5" i="10" s="1"/>
  <c r="I25" i="10"/>
  <c r="I24" i="10" s="1"/>
  <c r="G39" i="10"/>
  <c r="M6" i="10"/>
  <c r="M5" i="10" s="1"/>
  <c r="I14" i="10"/>
  <c r="I7" i="10" s="1"/>
  <c r="H34" i="10"/>
  <c r="H33" i="10" s="1"/>
  <c r="I39" i="10"/>
  <c r="O62" i="10"/>
  <c r="J75" i="10"/>
  <c r="I45" i="10"/>
  <c r="I48" i="10"/>
  <c r="G63" i="10"/>
  <c r="H61" i="10" l="1"/>
  <c r="H4" i="10" s="1"/>
  <c r="I62" i="10"/>
  <c r="J61" i="10"/>
  <c r="J4" i="10" s="1"/>
  <c r="L61" i="10"/>
  <c r="L4" i="10" s="1"/>
  <c r="I75" i="10"/>
  <c r="N61" i="10"/>
  <c r="M61" i="10"/>
  <c r="K61" i="10"/>
  <c r="K4" i="10" s="1"/>
  <c r="O61" i="10"/>
  <c r="I6" i="10"/>
  <c r="I5" i="10" s="1"/>
  <c r="G62" i="10"/>
  <c r="G61" i="10" s="1"/>
  <c r="G34" i="10"/>
  <c r="G33" i="10" s="1"/>
  <c r="O34" i="10"/>
  <c r="O33" i="10" s="1"/>
  <c r="G14" i="10"/>
  <c r="G7" i="10" s="1"/>
  <c r="G6" i="10" s="1"/>
  <c r="G5" i="10" s="1"/>
  <c r="I34" i="10"/>
  <c r="I33" i="10" s="1"/>
  <c r="I61" i="10" l="1"/>
  <c r="I4" i="10" s="1"/>
  <c r="G4" i="10"/>
  <c r="E4" i="6"/>
  <c r="E5" i="6"/>
  <c r="E6" i="6"/>
  <c r="E7" i="6"/>
  <c r="E8" i="6"/>
  <c r="E9" i="6"/>
  <c r="C10" i="6"/>
  <c r="D10" i="6"/>
  <c r="E10" i="6" s="1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L21" i="1"/>
  <c r="M21" i="1"/>
  <c r="L22" i="1"/>
  <c r="M22" i="1" s="1"/>
  <c r="O23" i="1"/>
  <c r="Q23" i="1"/>
  <c r="K24" i="1"/>
  <c r="O25" i="1"/>
  <c r="P25" i="1" s="1"/>
  <c r="L26" i="1"/>
  <c r="M26" i="1" s="1"/>
  <c r="L27" i="1"/>
  <c r="M27" i="1" s="1"/>
  <c r="O28" i="1"/>
  <c r="P28" i="1"/>
  <c r="L29" i="1"/>
  <c r="M29" i="1" s="1"/>
  <c r="P29" i="1"/>
  <c r="P19" i="1" s="1"/>
  <c r="N31" i="1"/>
  <c r="O31" i="1"/>
  <c r="P31" i="1"/>
  <c r="Q31" i="1"/>
  <c r="R31" i="1"/>
  <c r="S31" i="1"/>
  <c r="L32" i="1"/>
  <c r="O33" i="1"/>
  <c r="Q33" i="1" s="1"/>
  <c r="K34" i="1"/>
  <c r="K31" i="1" s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M50" i="1" s="1"/>
  <c r="AE50" i="1"/>
  <c r="O51" i="1"/>
  <c r="K51" i="1" s="1"/>
  <c r="L51" i="1" s="1"/>
  <c r="K52" i="1"/>
  <c r="O53" i="1"/>
  <c r="K53" i="1"/>
  <c r="K54" i="1"/>
  <c r="K55" i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L60" i="1"/>
  <c r="L59" i="1" s="1"/>
  <c r="P61" i="1"/>
  <c r="K62" i="1"/>
  <c r="N62" i="1"/>
  <c r="O62" i="1"/>
  <c r="P62" i="1"/>
  <c r="Q62" i="1"/>
  <c r="R62" i="1"/>
  <c r="S62" i="1"/>
  <c r="L63" i="1"/>
  <c r="M63" i="1" s="1"/>
  <c r="O64" i="1"/>
  <c r="K64" i="1" s="1"/>
  <c r="L64" i="1" s="1"/>
  <c r="L65" i="1"/>
  <c r="M65" i="1" s="1"/>
  <c r="P66" i="1"/>
  <c r="K66" i="1" s="1"/>
  <c r="L67" i="1"/>
  <c r="M67" i="1" s="1"/>
  <c r="N69" i="1"/>
  <c r="Q69" i="1"/>
  <c r="R69" i="1"/>
  <c r="S69" i="1"/>
  <c r="O70" i="1"/>
  <c r="P70" i="1"/>
  <c r="P69" i="1" s="1"/>
  <c r="K71" i="1"/>
  <c r="L71" i="1" s="1"/>
  <c r="M71" i="1" s="1"/>
  <c r="L73" i="1"/>
  <c r="M73" i="1"/>
  <c r="N74" i="1"/>
  <c r="O74" i="1"/>
  <c r="K75" i="1"/>
  <c r="N77" i="1"/>
  <c r="O77" i="1"/>
  <c r="P77" i="1"/>
  <c r="Q77" i="1"/>
  <c r="R77" i="1"/>
  <c r="S77" i="1"/>
  <c r="K78" i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L84" i="1" s="1"/>
  <c r="O85" i="1"/>
  <c r="P85" i="1" s="1"/>
  <c r="K86" i="1"/>
  <c r="O87" i="1"/>
  <c r="P87" i="1" s="1"/>
  <c r="K88" i="1"/>
  <c r="K89" i="1"/>
  <c r="L89" i="1" s="1"/>
  <c r="N90" i="1"/>
  <c r="O90" i="1"/>
  <c r="P90" i="1"/>
  <c r="Q90" i="1"/>
  <c r="R90" i="1"/>
  <c r="R76" i="1" s="1"/>
  <c r="S90" i="1"/>
  <c r="K91" i="1"/>
  <c r="L91" i="1" s="1"/>
  <c r="O92" i="1"/>
  <c r="Q92" i="1" s="1"/>
  <c r="K93" i="1"/>
  <c r="L93" i="1"/>
  <c r="N94" i="1"/>
  <c r="K94" i="1" s="1"/>
  <c r="K95" i="1"/>
  <c r="M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L100" i="1" s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N110" i="1"/>
  <c r="O110" i="1"/>
  <c r="P110" i="1"/>
  <c r="Q110" i="1"/>
  <c r="R110" i="1"/>
  <c r="R109" i="1" s="1"/>
  <c r="S110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K112" i="1"/>
  <c r="N112" i="1"/>
  <c r="O112" i="1"/>
  <c r="P112" i="1"/>
  <c r="Q112" i="1"/>
  <c r="R112" i="1"/>
  <c r="S112" i="1"/>
  <c r="L113" i="1"/>
  <c r="O114" i="1"/>
  <c r="Q114" i="1" s="1"/>
  <c r="AE115" i="1"/>
  <c r="AF115" i="1"/>
  <c r="K4" i="3"/>
  <c r="M8" i="3"/>
  <c r="N8" i="3"/>
  <c r="O8" i="3"/>
  <c r="P8" i="3"/>
  <c r="Q8" i="3"/>
  <c r="R8" i="3"/>
  <c r="U8" i="3"/>
  <c r="J9" i="3"/>
  <c r="K9" i="3" s="1"/>
  <c r="J8" i="3"/>
  <c r="U9" i="3"/>
  <c r="K11" i="3"/>
  <c r="L11" i="3"/>
  <c r="K13" i="3"/>
  <c r="L13" i="3" s="1"/>
  <c r="K15" i="3"/>
  <c r="L15" i="3" s="1"/>
  <c r="K17" i="3"/>
  <c r="L17" i="3" s="1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L46" i="3"/>
  <c r="J46" i="3" s="1"/>
  <c r="J4" i="3" s="1"/>
  <c r="J57" i="3"/>
  <c r="J59" i="3"/>
  <c r="J58" i="3"/>
  <c r="M59" i="3"/>
  <c r="M58" i="3" s="1"/>
  <c r="N59" i="3"/>
  <c r="N58" i="3" s="1"/>
  <c r="O59" i="3"/>
  <c r="O58" i="3" s="1"/>
  <c r="P59" i="3"/>
  <c r="P58" i="3" s="1"/>
  <c r="Q59" i="3"/>
  <c r="Q58" i="3" s="1"/>
  <c r="R59" i="3"/>
  <c r="R58" i="3" s="1"/>
  <c r="K60" i="3"/>
  <c r="K59" i="3" s="1"/>
  <c r="K58" i="3" s="1"/>
  <c r="K62" i="3"/>
  <c r="L62" i="3" s="1"/>
  <c r="J62" i="3" s="1"/>
  <c r="K55" i="3"/>
  <c r="J64" i="3"/>
  <c r="M64" i="3"/>
  <c r="N64" i="3"/>
  <c r="N63" i="3" s="1"/>
  <c r="O64" i="3"/>
  <c r="P64" i="3"/>
  <c r="Q64" i="3"/>
  <c r="R64" i="3"/>
  <c r="K65" i="3"/>
  <c r="L65" i="3"/>
  <c r="K67" i="3"/>
  <c r="K64" i="3" s="1"/>
  <c r="L67" i="3"/>
  <c r="J69" i="3"/>
  <c r="M69" i="3"/>
  <c r="N69" i="3"/>
  <c r="O69" i="3"/>
  <c r="P69" i="3"/>
  <c r="Q69" i="3"/>
  <c r="R69" i="3"/>
  <c r="K70" i="3"/>
  <c r="J71" i="3"/>
  <c r="M71" i="3"/>
  <c r="N71" i="3"/>
  <c r="O71" i="3"/>
  <c r="O63" i="3" s="1"/>
  <c r="P71" i="3"/>
  <c r="Q71" i="3"/>
  <c r="R71" i="3"/>
  <c r="K72" i="3"/>
  <c r="K74" i="3"/>
  <c r="K76" i="3"/>
  <c r="L76" i="3" s="1"/>
  <c r="K78" i="3"/>
  <c r="L78" i="3" s="1"/>
  <c r="J82" i="3"/>
  <c r="M82" i="3"/>
  <c r="N82" i="3"/>
  <c r="O82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Q90" i="3"/>
  <c r="R90" i="3"/>
  <c r="Q94" i="3"/>
  <c r="R94" i="3"/>
  <c r="K95" i="3"/>
  <c r="K94" i="3" s="1"/>
  <c r="K89" i="3" s="1"/>
  <c r="J97" i="3"/>
  <c r="J94" i="3" s="1"/>
  <c r="K97" i="3"/>
  <c r="L97" i="3" s="1"/>
  <c r="M97" i="3"/>
  <c r="M94" i="3" s="1"/>
  <c r="N97" i="3"/>
  <c r="N94" i="3" s="1"/>
  <c r="N89" i="3" s="1"/>
  <c r="O97" i="3"/>
  <c r="O94" i="3" s="1"/>
  <c r="P97" i="3"/>
  <c r="P94" i="3" s="1"/>
  <c r="J99" i="3"/>
  <c r="M99" i="3"/>
  <c r="M89" i="3" s="1"/>
  <c r="N99" i="3"/>
  <c r="O99" i="3"/>
  <c r="P99" i="3"/>
  <c r="Q99" i="3"/>
  <c r="R99" i="3"/>
  <c r="K100" i="3"/>
  <c r="L100" i="3" s="1"/>
  <c r="L99" i="3" s="1"/>
  <c r="K99" i="3"/>
  <c r="L36" i="3"/>
  <c r="L35" i="3" s="1"/>
  <c r="L55" i="1"/>
  <c r="M55" i="1" s="1"/>
  <c r="M107" i="1"/>
  <c r="L86" i="1"/>
  <c r="M86" i="1" s="1"/>
  <c r="L54" i="1"/>
  <c r="M32" i="1"/>
  <c r="M43" i="1"/>
  <c r="M42" i="1" s="1"/>
  <c r="L42" i="1"/>
  <c r="K97" i="1"/>
  <c r="L98" i="1"/>
  <c r="M98" i="1" s="1"/>
  <c r="M97" i="1" s="1"/>
  <c r="L97" i="1"/>
  <c r="M60" i="1"/>
  <c r="M59" i="1" s="1"/>
  <c r="K2" i="3"/>
  <c r="K109" i="1"/>
  <c r="AE108" i="1" s="1"/>
  <c r="L78" i="1"/>
  <c r="M78" i="1"/>
  <c r="K69" i="3"/>
  <c r="L70" i="3"/>
  <c r="L69" i="3"/>
  <c r="K19" i="1"/>
  <c r="L24" i="1"/>
  <c r="M24" i="1" s="1"/>
  <c r="M93" i="1"/>
  <c r="L53" i="1"/>
  <c r="M53" i="1" s="1"/>
  <c r="M37" i="1"/>
  <c r="M36" i="1"/>
  <c r="P21" i="1"/>
  <c r="L95" i="1"/>
  <c r="K100" i="1"/>
  <c r="L72" i="3"/>
  <c r="Q109" i="1"/>
  <c r="L88" i="1"/>
  <c r="M88" i="1" s="1"/>
  <c r="L112" i="1"/>
  <c r="M113" i="1"/>
  <c r="M112" i="1" s="1"/>
  <c r="M109" i="1" s="1"/>
  <c r="Q5" i="1"/>
  <c r="L26" i="3"/>
  <c r="L25" i="3" s="1"/>
  <c r="M64" i="1" l="1"/>
  <c r="N48" i="1"/>
  <c r="M63" i="3"/>
  <c r="L34" i="1"/>
  <c r="M34" i="1" s="1"/>
  <c r="R48" i="1"/>
  <c r="O109" i="1"/>
  <c r="L31" i="1"/>
  <c r="M51" i="1"/>
  <c r="L64" i="3"/>
  <c r="P89" i="3"/>
  <c r="K35" i="3"/>
  <c r="J55" i="3"/>
  <c r="J2" i="3" s="1"/>
  <c r="M56" i="3"/>
  <c r="Q76" i="1"/>
  <c r="J89" i="3"/>
  <c r="O76" i="1"/>
  <c r="R63" i="3"/>
  <c r="R56" i="3" s="1"/>
  <c r="K29" i="3"/>
  <c r="L29" i="3"/>
  <c r="S109" i="1"/>
  <c r="K41" i="1"/>
  <c r="L41" i="1" s="1"/>
  <c r="M41" i="1" s="1"/>
  <c r="M89" i="1"/>
  <c r="P63" i="3"/>
  <c r="K43" i="3"/>
  <c r="L110" i="1"/>
  <c r="L109" i="1" s="1"/>
  <c r="AF108" i="1" s="1"/>
  <c r="R89" i="3"/>
  <c r="M101" i="1"/>
  <c r="M100" i="1" s="1"/>
  <c r="K49" i="1"/>
  <c r="L52" i="1"/>
  <c r="L49" i="1" s="1"/>
  <c r="Q89" i="3"/>
  <c r="Q56" i="3" s="1"/>
  <c r="N76" i="1"/>
  <c r="K81" i="1"/>
  <c r="L81" i="1" s="1"/>
  <c r="K74" i="1"/>
  <c r="P48" i="1"/>
  <c r="M19" i="1"/>
  <c r="M7" i="3"/>
  <c r="M5" i="3" s="1"/>
  <c r="M3" i="3" s="1"/>
  <c r="L62" i="1"/>
  <c r="S5" i="1"/>
  <c r="S48" i="1"/>
  <c r="M31" i="1"/>
  <c r="Q48" i="1"/>
  <c r="R5" i="1"/>
  <c r="Q63" i="3"/>
  <c r="M62" i="1"/>
  <c r="J7" i="3"/>
  <c r="J5" i="3" s="1"/>
  <c r="M83" i="1"/>
  <c r="K104" i="1"/>
  <c r="L83" i="3"/>
  <c r="L82" i="3" s="1"/>
  <c r="Q7" i="3"/>
  <c r="Q5" i="3" s="1"/>
  <c r="N109" i="1"/>
  <c r="S4" i="3"/>
  <c r="L4" i="3"/>
  <c r="O89" i="3"/>
  <c r="O56" i="3" s="1"/>
  <c r="L60" i="3"/>
  <c r="L59" i="3" s="1"/>
  <c r="L58" i="3" s="1"/>
  <c r="P7" i="3"/>
  <c r="P5" i="3" s="1"/>
  <c r="P109" i="1"/>
  <c r="L90" i="1"/>
  <c r="N5" i="1"/>
  <c r="L56" i="1"/>
  <c r="M84" i="1"/>
  <c r="L95" i="3"/>
  <c r="L94" i="3" s="1"/>
  <c r="L89" i="3" s="1"/>
  <c r="O7" i="3"/>
  <c r="O5" i="3" s="1"/>
  <c r="S76" i="1"/>
  <c r="L94" i="1"/>
  <c r="M94" i="1" s="1"/>
  <c r="N7" i="3"/>
  <c r="N5" i="3" s="1"/>
  <c r="K90" i="1"/>
  <c r="L19" i="1"/>
  <c r="M99" i="1"/>
  <c r="R7" i="3"/>
  <c r="R5" i="3" s="1"/>
  <c r="P76" i="1"/>
  <c r="N56" i="3"/>
  <c r="P56" i="3"/>
  <c r="L82" i="1"/>
  <c r="L77" i="1" s="1"/>
  <c r="K77" i="1"/>
  <c r="K76" i="1" s="1"/>
  <c r="AE75" i="1" s="1"/>
  <c r="L39" i="1"/>
  <c r="M40" i="1"/>
  <c r="M39" i="1" s="1"/>
  <c r="K6" i="1"/>
  <c r="K5" i="1" s="1"/>
  <c r="L13" i="1"/>
  <c r="M13" i="1" s="1"/>
  <c r="M7" i="1"/>
  <c r="M91" i="1"/>
  <c r="M90" i="1" s="1"/>
  <c r="L74" i="3"/>
  <c r="L71" i="3" s="1"/>
  <c r="K71" i="3"/>
  <c r="K63" i="3" s="1"/>
  <c r="K56" i="3" s="1"/>
  <c r="T55" i="3" s="1"/>
  <c r="J63" i="3"/>
  <c r="L9" i="3"/>
  <c r="L8" i="3" s="1"/>
  <c r="K8" i="3"/>
  <c r="M54" i="1"/>
  <c r="O5" i="1"/>
  <c r="O69" i="1"/>
  <c r="O48" i="1" s="1"/>
  <c r="K70" i="1"/>
  <c r="L66" i="1"/>
  <c r="M66" i="1" s="1"/>
  <c r="K40" i="3"/>
  <c r="L41" i="3"/>
  <c r="L40" i="3" s="1"/>
  <c r="L2" i="1"/>
  <c r="K47" i="1"/>
  <c r="L79" i="1"/>
  <c r="M79" i="1" s="1"/>
  <c r="P6" i="1"/>
  <c r="P5" i="1" s="1"/>
  <c r="P3" i="1" s="1"/>
  <c r="L55" i="3"/>
  <c r="P30" i="1"/>
  <c r="M81" i="1" l="1"/>
  <c r="L76" i="1"/>
  <c r="AF75" i="1" s="1"/>
  <c r="P3" i="3"/>
  <c r="O3" i="3"/>
  <c r="J56" i="3"/>
  <c r="R3" i="1"/>
  <c r="Q3" i="3"/>
  <c r="Q3" i="1"/>
  <c r="L63" i="3"/>
  <c r="S3" i="1"/>
  <c r="L2" i="3"/>
  <c r="R3" i="3"/>
  <c r="L6" i="1"/>
  <c r="L5" i="1" s="1"/>
  <c r="AF5" i="1" s="1"/>
  <c r="N3" i="1"/>
  <c r="L104" i="1"/>
  <c r="M104" i="1"/>
  <c r="M52" i="1"/>
  <c r="L74" i="1"/>
  <c r="M74" i="1" s="1"/>
  <c r="M49" i="1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K3" i="1" s="1"/>
  <c r="M70" i="1"/>
  <c r="M69" i="1" s="1"/>
  <c r="L56" i="3"/>
  <c r="O3" i="1"/>
  <c r="M6" i="1"/>
  <c r="M5" i="1" s="1"/>
  <c r="N3" i="3"/>
  <c r="M48" i="1" l="1"/>
  <c r="S55" i="3"/>
  <c r="J3" i="3"/>
  <c r="S2" i="3" s="1"/>
  <c r="L3" i="3"/>
  <c r="L3" i="1"/>
  <c r="AF3" i="1" s="1"/>
  <c r="M3" i="1"/>
  <c r="AE47" i="1"/>
  <c r="AE3" i="1"/>
  <c r="T4" i="3"/>
  <c r="K3" i="3"/>
  <c r="T2" i="3" s="1"/>
  <c r="O4" i="10" l="1"/>
  <c r="M4" i="10"/>
  <c r="N4" i="10"/>
</calcChain>
</file>

<file path=xl/sharedStrings.xml><?xml version="1.0" encoding="utf-8"?>
<sst xmlns="http://schemas.openxmlformats.org/spreadsheetml/2006/main" count="2213" uniqueCount="1027">
  <si>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</si>
  <si>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</si>
  <si>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</si>
  <si>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</si>
  <si>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</si>
  <si>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</si>
  <si>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</si>
  <si>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</si>
  <si>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</si>
  <si>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</si>
  <si>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</si>
  <si>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</si>
  <si>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</si>
  <si>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</si>
  <si>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</si>
  <si>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</si>
  <si>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</si>
  <si>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</si>
  <si>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</si>
  <si>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</si>
  <si>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</si>
  <si>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</si>
  <si>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</si>
  <si>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</si>
  <si>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</si>
  <si>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</si>
  <si>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</si>
  <si>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</si>
  <si>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</si>
  <si>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</si>
  <si>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</si>
  <si>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</si>
  <si>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</si>
  <si>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</si>
  <si>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</si>
  <si>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</si>
  <si>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</si>
  <si>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</si>
  <si>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</si>
  <si>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</si>
  <si>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</si>
  <si>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</si>
  <si>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</si>
  <si>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</si>
  <si>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</si>
  <si>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</si>
  <si>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</si>
  <si>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</si>
  <si>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</si>
  <si>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</si>
  <si>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</si>
  <si>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</si>
  <si>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</si>
  <si>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</si>
  <si>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</si>
  <si>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</si>
  <si>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</si>
  <si>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</si>
  <si>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</si>
  <si>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</si>
  <si>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</si>
  <si>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</si>
  <si>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</si>
  <si>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</si>
  <si>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</si>
  <si>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</si>
  <si>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</si>
  <si>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</si>
  <si>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</si>
  <si>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</si>
  <si>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</si>
  <si>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</si>
  <si>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</si>
  <si>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</si>
  <si>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</si>
  <si>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</si>
  <si>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</si>
  <si>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</si>
  <si>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</si>
  <si>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</si>
  <si>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</si>
  <si>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</si>
  <si>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</si>
  <si>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</si>
  <si>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</si>
  <si>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</si>
  <si>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</si>
  <si>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</si>
  <si>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</si>
  <si>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</si>
  <si>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</si>
  <si>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</si>
  <si>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</si>
  <si>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</si>
  <si>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</si>
  <si>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</si>
  <si>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</si>
  <si>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</si>
  <si>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</si>
  <si>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</si>
  <si>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</si>
  <si>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</si>
  <si>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</si>
  <si>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</si>
  <si>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</si>
  <si>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</si>
  <si>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</si>
  <si>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</si>
  <si>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</si>
  <si>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</si>
  <si>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</si>
  <si>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</si>
  <si>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</si>
  <si>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</si>
  <si>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</si>
  <si>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</si>
  <si>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</si>
  <si>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</si>
  <si>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</si>
  <si>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</si>
  <si>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</si>
  <si>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</si>
  <si>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</si>
  <si>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</si>
  <si>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</si>
  <si>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</si>
  <si>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</si>
  <si>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</si>
  <si>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</si>
  <si>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</si>
  <si>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</si>
  <si>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</si>
  <si>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</si>
  <si>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</si>
  <si>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</si>
  <si>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</si>
  <si>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</si>
  <si>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</si>
  <si>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</si>
  <si>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</si>
  <si>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</si>
  <si>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</si>
  <si>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</si>
  <si>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</si>
  <si>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</si>
  <si>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</si>
  <si>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</si>
  <si>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</si>
  <si>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</si>
  <si>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</si>
  <si>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</si>
  <si>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</si>
  <si>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</si>
  <si>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</si>
  <si>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</si>
  <si>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</si>
  <si>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</si>
  <si>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</si>
  <si>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</si>
  <si>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</si>
  <si>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</si>
  <si>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</si>
  <si>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</si>
  <si>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</si>
  <si>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</si>
  <si>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</si>
  <si>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</si>
  <si>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</si>
  <si>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</si>
  <si>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</si>
  <si>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</si>
  <si>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</si>
  <si>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</si>
  <si>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</si>
  <si>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</si>
  <si>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</si>
  <si>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</si>
  <si>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</si>
  <si>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</si>
  <si>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</si>
  <si>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</si>
  <si>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</si>
  <si>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</si>
  <si>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</si>
  <si>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Vračanje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</si>
  <si>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</si>
  <si>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</si>
  <si>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</si>
  <si>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</si>
  <si>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</si>
  <si>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</si>
  <si>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</si>
  <si>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</si>
  <si>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</si>
  <si>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</si>
  <si>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</si>
  <si>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</si>
  <si>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</si>
  <si>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</si>
  <si>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</si>
  <si>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</si>
  <si>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</si>
  <si>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</si>
  <si>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</si>
  <si>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</si>
  <si>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</si>
  <si>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</si>
  <si>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</si>
  <si>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</si>
  <si>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</si>
  <si>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</si>
  <si>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</si>
  <si>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</si>
  <si>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</si>
  <si>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</si>
  <si>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</si>
  <si>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</si>
  <si>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</si>
  <si>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</si>
  <si>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</si>
  <si>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</si>
  <si>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</si>
  <si>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</si>
  <si>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</si>
  <si>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</si>
  <si>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</si>
  <si>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</si>
  <si>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</si>
  <si>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</si>
  <si>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</si>
  <si>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</si>
  <si>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</si>
  <si>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</si>
  <si>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</si>
  <si>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</si>
  <si>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</si>
  <si>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</si>
  <si>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</si>
  <si>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</si>
  <si>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</si>
  <si>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</si>
  <si>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</si>
  <si>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</si>
  <si>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</si>
  <si>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</si>
  <si>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</si>
  <si>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</si>
  <si>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</si>
  <si>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</si>
  <si>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</si>
  <si>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</si>
  <si>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</si>
  <si>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</si>
  <si>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</si>
  <si>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</si>
  <si>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</si>
  <si>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</si>
  <si>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</si>
  <si>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</si>
  <si>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</si>
  <si>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</si>
  <si>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</si>
  <si>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</si>
  <si>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</si>
  <si>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</si>
  <si>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</si>
  <si>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</si>
  <si>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</si>
  <si>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</si>
  <si>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</si>
  <si>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</si>
  <si>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</si>
  <si>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</si>
  <si>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</si>
  <si>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</si>
  <si>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</si>
  <si>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</si>
  <si>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</si>
  <si>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</si>
  <si>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</si>
  <si>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</si>
  <si>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</si>
  <si>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</si>
  <si>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</si>
  <si>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</si>
  <si>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</si>
  <si>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</si>
  <si>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</si>
  <si>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</si>
  <si>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</si>
  <si>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</si>
  <si>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</si>
  <si>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</si>
  <si>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</si>
  <si>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</si>
  <si>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</si>
  <si>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</si>
  <si>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</si>
  <si>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</si>
  <si>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</si>
  <si>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</si>
  <si>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</si>
  <si>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</si>
  <si>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</si>
  <si>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</si>
  <si>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</si>
  <si>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</si>
  <si>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</si>
  <si>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</si>
  <si>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</si>
  <si>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</si>
  <si>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</si>
  <si>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</si>
  <si>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</si>
  <si>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</si>
  <si>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</si>
  <si>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</si>
  <si>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</si>
  <si>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</si>
  <si>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</si>
  <si>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</si>
  <si>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</si>
  <si>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</si>
  <si>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</si>
  <si>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</si>
  <si>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</si>
  <si>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</si>
  <si>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</si>
  <si>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</si>
  <si>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</si>
  <si>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</si>
  <si>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</si>
  <si>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</si>
  <si>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</si>
  <si>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</si>
  <si>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</si>
  <si>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</si>
  <si>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</si>
  <si>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</si>
  <si>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</si>
  <si>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</si>
  <si>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</si>
  <si>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</si>
  <si>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</si>
  <si>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</si>
  <si>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</si>
  <si>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</si>
  <si>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</si>
  <si>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</si>
  <si>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</si>
  <si>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</si>
  <si>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</si>
  <si>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</si>
  <si>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</si>
  <si>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</si>
  <si>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</si>
  <si>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</si>
  <si>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</si>
  <si>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</si>
  <si>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</si>
  <si>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</si>
  <si>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</si>
  <si>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</si>
  <si>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</si>
  <si>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</si>
  <si>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</si>
  <si>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</si>
  <si>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</si>
  <si>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</si>
  <si>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</si>
  <si>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</si>
  <si>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</si>
  <si>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</si>
  <si>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</si>
  <si>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</si>
  <si>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</si>
  <si>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</si>
  <si>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</si>
  <si>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</si>
  <si>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</si>
  <si>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</si>
  <si>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</si>
  <si>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</si>
  <si>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</si>
  <si>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</si>
  <si>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</si>
  <si>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</si>
  <si>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</si>
  <si>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</si>
  <si>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</si>
  <si>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</si>
  <si>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</si>
  <si>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</si>
  <si>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</si>
  <si>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</si>
  <si>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</si>
  <si>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</si>
  <si>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</si>
  <si>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</si>
  <si>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</si>
  <si>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</si>
  <si>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</si>
  <si>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</si>
  <si>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</si>
  <si>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</si>
  <si>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</si>
  <si>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</si>
  <si>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</si>
  <si>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</si>
  <si>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</si>
  <si>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</si>
  <si>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</si>
  <si>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</si>
  <si>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</si>
  <si>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</si>
  <si>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</si>
  <si>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</si>
  <si>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</si>
  <si>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</si>
  <si>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</si>
  <si>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</si>
  <si>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</si>
  <si>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</si>
  <si>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</si>
  <si>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</si>
  <si>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</si>
  <si>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</si>
  <si>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</si>
  <si>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</si>
  <si>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</si>
  <si>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</si>
  <si>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</si>
  <si>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</si>
  <si>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</si>
  <si>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</si>
  <si>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</si>
  <si>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</si>
  <si>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</si>
  <si>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</si>
  <si>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</si>
  <si>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</si>
  <si>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</si>
  <si>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</si>
  <si>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</si>
  <si>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</si>
  <si>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</si>
  <si>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</si>
  <si>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</si>
  <si>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</si>
  <si>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</si>
  <si>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</si>
  <si>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</si>
  <si>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</si>
  <si>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</si>
  <si>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</si>
  <si>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</si>
  <si>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</si>
  <si>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</si>
  <si>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</si>
  <si>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</si>
  <si>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</si>
  <si>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</si>
  <si>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</si>
  <si>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</si>
  <si>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</si>
  <si>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</si>
  <si>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</si>
  <si>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</si>
  <si>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</si>
  <si>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</si>
  <si>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</si>
  <si>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</si>
  <si>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</si>
  <si>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</si>
  <si>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</si>
  <si>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</si>
  <si>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</si>
  <si>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</si>
  <si>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</si>
  <si>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</si>
  <si>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</si>
  <si>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</si>
  <si>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</si>
  <si>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</si>
  <si>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</si>
  <si>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</si>
  <si>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</si>
  <si>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</si>
  <si>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</si>
  <si>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</si>
  <si>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</si>
  <si>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</si>
  <si>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</si>
  <si>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</si>
  <si>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</si>
  <si>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</si>
  <si>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</si>
  <si>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</si>
  <si>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</si>
  <si>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</si>
  <si>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</si>
  <si>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</si>
  <si>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</si>
  <si>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</si>
  <si>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</si>
  <si>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</si>
  <si>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</si>
  <si>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</si>
  <si>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</si>
  <si>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</si>
  <si>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</si>
  <si>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</si>
  <si>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</si>
  <si>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</si>
  <si>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</si>
  <si>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</si>
  <si>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</si>
  <si>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</si>
  <si>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</si>
  <si>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</si>
  <si>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</si>
  <si>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</si>
  <si>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</si>
  <si>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</si>
  <si>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</si>
  <si>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</si>
  <si>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</si>
  <si>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</si>
  <si>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</si>
  <si>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</si>
  <si>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</si>
  <si>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</si>
  <si>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</si>
  <si>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</si>
  <si>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</si>
  <si>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</si>
  <si>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</si>
  <si>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</si>
  <si>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</si>
  <si>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</si>
  <si>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</si>
  <si>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</si>
  <si>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</si>
  <si>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</si>
  <si>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</si>
  <si>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</si>
  <si>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</si>
  <si>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</si>
  <si>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</si>
  <si>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</si>
  <si>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</si>
  <si>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</si>
  <si>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</si>
  <si>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</si>
  <si>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</si>
  <si>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</si>
  <si>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</si>
  <si>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</si>
  <si>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</si>
  <si>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</si>
  <si>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</si>
  <si>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</si>
  <si>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</si>
  <si>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</si>
  <si>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</si>
  <si>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</si>
  <si>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</si>
  <si>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</si>
  <si>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</si>
  <si>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</si>
  <si>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</si>
  <si>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</si>
  <si>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</si>
  <si>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</si>
  <si>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</si>
  <si>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</si>
  <si>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</si>
  <si>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</si>
  <si>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</si>
  <si>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</si>
  <si>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</si>
  <si>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</si>
  <si>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</si>
  <si>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</si>
  <si>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</si>
  <si>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</si>
  <si>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</si>
  <si>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</si>
  <si>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</si>
  <si>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</si>
  <si>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</si>
  <si>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</si>
  <si>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</si>
  <si>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</si>
  <si>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</si>
  <si>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</si>
  <si>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</si>
  <si>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</si>
  <si>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</si>
  <si>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</si>
  <si>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</si>
  <si>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</si>
  <si>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</si>
  <si>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</si>
  <si>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</si>
  <si>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</si>
  <si>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</si>
  <si>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</si>
  <si>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</si>
  <si>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</si>
  <si>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</si>
  <si>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</si>
  <si>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</si>
  <si>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</si>
  <si>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</si>
  <si>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</si>
  <si>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</si>
  <si>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</si>
  <si>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</si>
  <si>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</si>
  <si>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</si>
  <si>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</si>
  <si>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</si>
  <si>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</si>
  <si>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</si>
  <si>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</si>
  <si>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</si>
  <si>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</si>
  <si>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</si>
  <si>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</si>
  <si>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</si>
  <si>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</si>
  <si>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</si>
  <si>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</si>
  <si>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</si>
  <si>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</si>
  <si>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</si>
  <si>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</si>
  <si>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</si>
  <si>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</si>
  <si>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</si>
  <si>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</si>
  <si>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</si>
  <si>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</si>
  <si>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</si>
  <si>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</si>
  <si>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</si>
  <si>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</si>
  <si>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</si>
  <si>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</si>
  <si>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</si>
  <si>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</si>
  <si>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</si>
  <si>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</si>
  <si>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</si>
  <si>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</si>
  <si>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</si>
  <si>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</si>
  <si>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</si>
  <si>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</si>
  <si>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</si>
  <si>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</si>
  <si>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</si>
  <si>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</si>
  <si>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</si>
  <si>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</si>
  <si>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</si>
  <si>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</si>
  <si>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</si>
  <si>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</si>
  <si>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</si>
  <si>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</si>
  <si>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</si>
  <si>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</si>
  <si>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</si>
  <si>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</si>
  <si>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</si>
  <si>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</si>
  <si>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</si>
  <si>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</si>
  <si>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</si>
  <si>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</si>
  <si>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</si>
  <si>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</si>
  <si>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</si>
  <si>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</si>
  <si>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</si>
  <si>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</si>
  <si>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</si>
  <si>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</si>
  <si>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</si>
  <si>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</si>
  <si>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</si>
  <si>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</si>
  <si>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</si>
  <si>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</si>
  <si>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</si>
  <si>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</si>
  <si>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</si>
  <si>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</si>
  <si>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</si>
  <si>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</si>
  <si>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</si>
  <si>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</si>
  <si>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</si>
  <si>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</si>
  <si>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</si>
  <si>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</si>
  <si>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</si>
  <si>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</si>
  <si>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</si>
  <si>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</si>
  <si>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</si>
  <si>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</si>
  <si>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</si>
  <si>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</si>
  <si>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</si>
  <si>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</si>
  <si>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</si>
  <si>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</si>
  <si>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</si>
  <si>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</si>
  <si>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</si>
  <si>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</si>
  <si>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</si>
  <si>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</si>
  <si>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</si>
  <si>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</si>
  <si>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</si>
  <si>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</si>
  <si>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</si>
  <si>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</si>
  <si>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</si>
  <si>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</si>
  <si>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</si>
  <si>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</si>
  <si>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</si>
  <si>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</si>
  <si>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</si>
  <si>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</si>
  <si>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</si>
  <si>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</si>
  <si>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</si>
  <si>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</si>
  <si>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</si>
  <si>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</si>
  <si>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</si>
  <si>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</si>
  <si>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</si>
  <si>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</si>
  <si>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</si>
  <si>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</si>
  <si>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</si>
  <si>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</si>
  <si>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</si>
  <si>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</si>
  <si>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</si>
  <si>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</si>
  <si>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</si>
  <si>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</si>
  <si>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</si>
  <si>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</si>
  <si>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</si>
  <si>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</si>
  <si>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</si>
  <si>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</si>
  <si>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</si>
  <si>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</si>
  <si>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</si>
  <si>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</si>
  <si>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</si>
  <si>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</si>
  <si>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</si>
  <si>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</si>
  <si>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</si>
  <si>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</si>
  <si>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</si>
  <si>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</si>
  <si>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</si>
  <si>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</si>
  <si>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</si>
  <si>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</si>
  <si>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</si>
  <si>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</si>
  <si>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</si>
  <si>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</si>
  <si>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</si>
  <si>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</si>
  <si>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</si>
  <si>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</si>
  <si>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</si>
  <si>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</si>
  <si>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</si>
  <si>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</si>
  <si>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</si>
  <si>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</si>
  <si>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</si>
  <si>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</si>
  <si>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</si>
  <si>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</si>
  <si>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</si>
  <si>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</si>
  <si>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</si>
  <si>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</si>
  <si>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</si>
  <si>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</si>
  <si>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</si>
  <si>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</si>
  <si>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</si>
  <si>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</si>
  <si>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</si>
  <si>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</si>
  <si>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</si>
  <si>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</si>
  <si>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</si>
  <si>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</si>
  <si>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Policija - CT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</si>
  <si>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</si>
  <si>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</si>
  <si>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</si>
  <si>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</si>
  <si>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</si>
  <si>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</si>
  <si>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</si>
  <si>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</si>
  <si>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</si>
  <si>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</si>
  <si>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</si>
  <si>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</si>
  <si>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</si>
  <si>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</si>
  <si>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</si>
  <si>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AMIF - Tehnična pomoč</t>
  </si>
  <si>
    <t>2017 -realizacija</t>
  </si>
  <si>
    <t>2017-glede na OP</t>
  </si>
  <si>
    <t>razlika</t>
  </si>
  <si>
    <t>UOIM</t>
  </si>
  <si>
    <t>JR</t>
  </si>
  <si>
    <t>Zdravstveni pregledi in materialna oskrba prosilcev</t>
  </si>
  <si>
    <t>N</t>
  </si>
  <si>
    <t xml:space="preserve">EU prispevek </t>
  </si>
  <si>
    <t>Vsi 
projekti</t>
  </si>
  <si>
    <t>AMIF SO1+2+3
+TA</t>
  </si>
  <si>
    <t xml:space="preserve"> UOIM</t>
  </si>
  <si>
    <t>Nosilec vsebine</t>
  </si>
  <si>
    <t>Sklad / Posebni cilj / Vrsta ukrepa / Ukrep</t>
  </si>
  <si>
    <t>Azilni sistem</t>
  </si>
  <si>
    <t>Vrsta ukrepa</t>
  </si>
  <si>
    <t>Pogoji za sprejem</t>
  </si>
  <si>
    <t>Informiranje tujcev na področju mednarodne zaščite</t>
  </si>
  <si>
    <t>Nadgradja informacijskega sistema (IKT) za podporo migracijskim postopkom</t>
  </si>
  <si>
    <t>Informiranje prosilcev in prostočasne aktivnosti</t>
  </si>
  <si>
    <t>Opismenjevanje, učna pomoč in tečaji slovenskega jezika za prosilce</t>
  </si>
  <si>
    <t>Azilni postopki</t>
  </si>
  <si>
    <t xml:space="preserve">Izvajanje pravnega reda Unije </t>
  </si>
  <si>
    <t>Spremstva pri predaji in prevzemu tujcev in zagotavljanje varnostne službe, ki sodeluje pri prevozih</t>
  </si>
  <si>
    <t xml:space="preserve">Osebe s posebnimi potrebami glede sprejema in postopkovnimi potrebami </t>
  </si>
  <si>
    <t>Preprečevanje trgovine z ljudmi, spolnega nasilja in podpora ženskam</t>
  </si>
  <si>
    <t>Ukrepi iz priloge IV (90%)</t>
  </si>
  <si>
    <t>Ukrepi, zajeti s členom 15(1) (75%)</t>
  </si>
  <si>
    <t>Otroci v migracijah</t>
  </si>
  <si>
    <t xml:space="preserve">Podpora v postopku priznanja mednarodne zaščite </t>
  </si>
  <si>
    <t>Zagotovitev nastanitve in oskrbe mladoletnikov brez spremstva</t>
  </si>
  <si>
    <t xml:space="preserve">Psihosocialna pomoč in prostočasne aktivnosti in mladoletnikov brez spremstva </t>
  </si>
  <si>
    <t>Operativna podpora (100%)</t>
  </si>
  <si>
    <t>Razvoj strategij vključevanja</t>
  </si>
  <si>
    <t>Vzpostavitev koordinativnih teles na lokalni ravni z namenom prepoznavanja težav pri integraciji, iskanja ustreznih rešitev in priprave dodatnih integracijskih dejavnosti.</t>
  </si>
  <si>
    <t>Uvajanje inovativnih shem za vključevanje migrantov s poudarkom na pozitivnih praksah</t>
  </si>
  <si>
    <t>Ukrepi za vključevanje – informiranje in usmerjanje, točke „vse na enem mestu“ in dnevni medkulturni prostor za migrante</t>
  </si>
  <si>
    <t>Krepitev medkulturnega dialoga</t>
  </si>
  <si>
    <t>Vzpostavitev informacijskega/ medkulturnega središča</t>
  </si>
  <si>
    <t>Programi ozaveščanja družbe sprejema o migrantski problematiki in  programi informiranja državljanov tretjih držav</t>
  </si>
  <si>
    <t>Ukrepi za vključevanje – jezikovno usposabljanje</t>
  </si>
  <si>
    <t xml:space="preserve"> Tečaji in izpiti iz slovenskega jezika za državljane tretjih držav in osebe z mednarodno zaščito</t>
  </si>
  <si>
    <t>Migranti za migrante</t>
  </si>
  <si>
    <t xml:space="preserve">Ukrepi za vključevanje –državljanska vzgoja in druga usposabljanja </t>
  </si>
  <si>
    <t xml:space="preserve">Usposabljanje v okviru tima predstavnikov kompetentnih služb in ustanov na lokalnem nivoju
</t>
  </si>
  <si>
    <t xml:space="preserve">Dodatna podpora pri integraciji - Zagotavljanje ustrezne specialistične in druge strokovne obravnave ali pomoči </t>
  </si>
  <si>
    <t>Ukrepi za vključevanje – uvajanje, udeležba in stiki z družbo gostiteljico in priprava za vstop na trg dela</t>
  </si>
  <si>
    <t>Pomoč pri integraciji OMZ</t>
  </si>
  <si>
    <t>Pilotna vzpostavitev tima predstavnikov kompetentnih služb in ustanov na lokalnem nivoju za pripravo, izvedbo in evalvacijo integracijskih aktivnostih prilagojenih potrebam in sposobnostim posameznika</t>
  </si>
  <si>
    <t>Pilotna postavitev dvoletnega projekta v sodelovanju z lokalno skupnostjo, lokalnimi podjetji oziroma delodajalci, državnimi organi in lokalnimi NVO z namenom v dveh letih izvesti obvezen integracijski program, hkrati pa usposobiti OMZ za vstop na trg dela in mu zagotoviti ustrezno kvalifikacijo</t>
  </si>
  <si>
    <t>Ukrepi za vključevanje – osnovne potrebe</t>
  </si>
  <si>
    <t>Programi predpriprave na vključevanje v izobraževalni sistem v obliki opismenjevanj in učne pomoči</t>
  </si>
  <si>
    <t>Zagotavljanje denarnih nadomestil za nastanitev na zasebnem naslovu za osebe z mednarodno zaščito</t>
  </si>
  <si>
    <t>Stroški plač zaposlenih, vzdrževanja prostorov in opreme</t>
  </si>
  <si>
    <t xml:space="preserve">Operativna podpora </t>
  </si>
  <si>
    <t>Pogoji za sprejem/pridržanje</t>
  </si>
  <si>
    <t>Tekoči stroški/osnovna oskrba</t>
  </si>
  <si>
    <t>Investicije v infrastrukturo</t>
  </si>
  <si>
    <t>Zdravniška oskrba in psihosocialna oskrba</t>
  </si>
  <si>
    <t xml:space="preserve">Pravno svetovanja tujcem v postopku vračanja </t>
  </si>
  <si>
    <t>Operacije vračanja</t>
  </si>
  <si>
    <t>Nacionalna vračanja</t>
  </si>
  <si>
    <t>Prevajalske storitve v času nastanitve in priprav za vračanje</t>
  </si>
  <si>
    <t>Sistem spremljanja prisilnega vračanja</t>
  </si>
  <si>
    <t>Policija - UUP</t>
  </si>
  <si>
    <t>Recamas</t>
  </si>
  <si>
    <t>Pomoč pri prostovoljnem vračanju</t>
  </si>
  <si>
    <t xml:space="preserve">Pomoč pri reintegraciji </t>
  </si>
  <si>
    <t xml:space="preserve">Vzpostavitev nacionalni in-cash assistance </t>
  </si>
  <si>
    <t>Krepitev zmogljivosti</t>
  </si>
  <si>
    <t>Psihiatrična in psihoterapevtska podpora ter finančna pomoč za prosilce</t>
  </si>
  <si>
    <t>Usposabljanje zakonitih zastopnikov, študijski obiski in supervizija</t>
  </si>
  <si>
    <t>Stroški vzdrževanja opreme, infrastrukture in stroški plač zaposlenih</t>
  </si>
  <si>
    <t>Študijski obiski zaposlenih z namenom prenosa dobrih praks vključevanja in supervizija</t>
  </si>
  <si>
    <t>Usposabljanje javnih uslužbencev in drugih deležnikov v postopkih mednarodne zaščite</t>
  </si>
  <si>
    <t>Pravno svetovanje in druga podpora v postopkih mdnarodne zaščite</t>
  </si>
  <si>
    <t>MNZ - DM</t>
  </si>
  <si>
    <t>Tehnična pomoč (100%)</t>
  </si>
  <si>
    <t>AM.SO1</t>
  </si>
  <si>
    <t>AM.SO1.1</t>
  </si>
  <si>
    <t>AM.SO1.1.1</t>
  </si>
  <si>
    <t>AM.SO1.1.1-01</t>
  </si>
  <si>
    <t>AM.SO1.1.1-02</t>
  </si>
  <si>
    <t>AM.SO1.1.1-03</t>
  </si>
  <si>
    <t>AM.SO1.1.1-04</t>
  </si>
  <si>
    <t>AM.SO1.1.1-05</t>
  </si>
  <si>
    <t>AM.SO1.1.1-06</t>
  </si>
  <si>
    <t>AM.SO1.1.1-07</t>
  </si>
  <si>
    <t>AM.SO1.1.2</t>
  </si>
  <si>
    <t>AM.SO1.1.2-01</t>
  </si>
  <si>
    <t>AM.SO1.1.2-02</t>
  </si>
  <si>
    <t>AM.SO1.1.3</t>
  </si>
  <si>
    <t>AM.SO1.1.3-01</t>
  </si>
  <si>
    <t>AM.SO1.1.5</t>
  </si>
  <si>
    <t>AM.SO1.1.5-01</t>
  </si>
  <si>
    <t>AM.SO1.1.5-02</t>
  </si>
  <si>
    <t>AM.SO1.3</t>
  </si>
  <si>
    <t>AM.SO1.3.4</t>
  </si>
  <si>
    <t>AM.SO1.3.4-01</t>
  </si>
  <si>
    <t>AM.SO1.3.4-02</t>
  </si>
  <si>
    <t>AM.SO1.3.4-03</t>
  </si>
  <si>
    <t>AM.SO1.4</t>
  </si>
  <si>
    <t>AM.SO1.4.7</t>
  </si>
  <si>
    <t>AM.SO1.4.7-01</t>
  </si>
  <si>
    <t>AM.SO1.4.7-02</t>
  </si>
  <si>
    <t>AM.SO2</t>
  </si>
  <si>
    <t>AM.SO2.1</t>
  </si>
  <si>
    <t>AM.SO2.1.1</t>
  </si>
  <si>
    <t>AM.SO2.1.1-01</t>
  </si>
  <si>
    <t>AM.SO2.1.1-02</t>
  </si>
  <si>
    <t>AM.SO2.1.1-03</t>
  </si>
  <si>
    <t>AM.SO2.1.3</t>
  </si>
  <si>
    <t>AM.SO2.1.3-01</t>
  </si>
  <si>
    <t>AM.SO2.1.3-02</t>
  </si>
  <si>
    <t>AM.SO2.1.3-03</t>
  </si>
  <si>
    <t>AM.SO2.1.3-04</t>
  </si>
  <si>
    <t>AM.SO2.1.4</t>
  </si>
  <si>
    <t>AM.SO2.1.4-01</t>
  </si>
  <si>
    <t>AM.SO2.1.5</t>
  </si>
  <si>
    <t>AM.SO2.1.5-01</t>
  </si>
  <si>
    <t>AM.SO2.1.5-02</t>
  </si>
  <si>
    <t>AM.SO2.1.6</t>
  </si>
  <si>
    <t>AM.SO2.1.6-01</t>
  </si>
  <si>
    <t>AM.SO2.1.6-02</t>
  </si>
  <si>
    <t>AM.SO2.1.6-03</t>
  </si>
  <si>
    <t>AM.SO2.1.7</t>
  </si>
  <si>
    <t>AM.SO2.1.7-01</t>
  </si>
  <si>
    <t>AM.SO2.1.7-02</t>
  </si>
  <si>
    <t>AM.SO2.4</t>
  </si>
  <si>
    <t>AM.SO2.4.12</t>
  </si>
  <si>
    <t>AM.SO2.4.12-01</t>
  </si>
  <si>
    <t>AM.SO3</t>
  </si>
  <si>
    <t>AM.SO3.1</t>
  </si>
  <si>
    <t>AM.SO3.1.1</t>
  </si>
  <si>
    <t>AM.SO3.1.1-01</t>
  </si>
  <si>
    <t>AM.SO3.1.1-02</t>
  </si>
  <si>
    <t>AM.SO3.1.1-03</t>
  </si>
  <si>
    <t>AM.SO3.1.1-04</t>
  </si>
  <si>
    <t>AM.SO3.1.6</t>
  </si>
  <si>
    <t>AM.SO3.1.6-01</t>
  </si>
  <si>
    <t>AM.SO3.1.6-02</t>
  </si>
  <si>
    <t>AM.SO3.1.7</t>
  </si>
  <si>
    <t>AM.SO3.1.7-01</t>
  </si>
  <si>
    <t>AM.SO3.3</t>
  </si>
  <si>
    <t>AM.SO3.3.4</t>
  </si>
  <si>
    <t>AM.SO3.3.4-01</t>
  </si>
  <si>
    <t>AM.SO3.3.5</t>
  </si>
  <si>
    <t>AM.SO3.3.5-01</t>
  </si>
  <si>
    <t>AM.SO5</t>
  </si>
  <si>
    <t>AM.SO5.9</t>
  </si>
  <si>
    <t>AM.SO5.9.4</t>
  </si>
  <si>
    <t>Opombe</t>
  </si>
  <si>
    <t>Spremljanje odstranitve tujcev iz Republike Slovenije</t>
  </si>
  <si>
    <t>Preselitev</t>
  </si>
  <si>
    <t>Prerazporeditev sredstev projekta med leti.</t>
  </si>
  <si>
    <t>AM.SO4</t>
  </si>
  <si>
    <t xml:space="preserve">Solidarnost  in pravična delitev odgovornosti </t>
  </si>
  <si>
    <t>AM.SO4.6</t>
  </si>
  <si>
    <t>Preselitev in humanitarni sprejem (100%)</t>
  </si>
  <si>
    <t>AM.SO4.6.3</t>
  </si>
  <si>
    <t>AM.SO4.6.3-01</t>
  </si>
  <si>
    <t>Nabava kontejnerjev - nerazporejeno</t>
  </si>
  <si>
    <t>Družbena kohezivnost -nerazporejeno</t>
  </si>
  <si>
    <t>Kampanja za promocijo slovenskega jezika  -nerazporejeno</t>
  </si>
  <si>
    <t>Prenos 10.000 EUR na operacijo AM.SO1.1.1-07 (znotraj istega ukrepa).</t>
  </si>
  <si>
    <t>Prenos 10.000 EUR iz operacije AM.SO1.1.1-01 (znotraj istega ukrepa).</t>
  </si>
  <si>
    <t>Združitev s projektom 2.1.7-01.</t>
  </si>
  <si>
    <t>Združitev s projektom 2.1.6-01.</t>
  </si>
  <si>
    <t>AM.SO3.1.3</t>
  </si>
  <si>
    <t>Postopki vračanja</t>
  </si>
  <si>
    <t>AM.SO4.7</t>
  </si>
  <si>
    <t>AM.SO4.7.1-01</t>
  </si>
  <si>
    <t>Mednarodna zaščita
 (Premestitev v)</t>
  </si>
  <si>
    <t>Premestitev</t>
  </si>
  <si>
    <t>AM.SO3.1.3-01</t>
  </si>
  <si>
    <t>AM.SO4.7.1</t>
  </si>
  <si>
    <t>Povečanje za 513.153,29 € in pridobljeno iz ostankov in nižanj drugih operacij.</t>
  </si>
  <si>
    <t>Znižanje za 128.710,94 € zaradi prerazporeditve ostankov (2023+2024) na operacijo AM.SO2.1.4-01.</t>
  </si>
  <si>
    <t>Nižanje za 1.128.451,40 € zaradi prerazporeditve na operacijo AM.SO2.1.4-01.</t>
  </si>
  <si>
    <t>Znižanje za 82.666,67 € zaradi prerazporeditve ostankov (2023+2024) na operacijo AM.SO2.1.4-01.</t>
  </si>
  <si>
    <t>Znižan za 77.600 € in prerazporeditev na operacijo AM.SO2.1.4-01. Spremenjeno med leti.</t>
  </si>
  <si>
    <t>Znižan za 60.000 € in prerazporeditev na operacijo AM.SO2.1.4-01 ter med leti.</t>
  </si>
  <si>
    <t>Znižan za 33.333,33 € ostankov 2023+2024 in prerazporeditev sredstev na operacijo AM.SO2.1.4-01.</t>
  </si>
  <si>
    <t xml:space="preserve">Znižan za 57.333,34 € in prerazporeditev na operacijo AM.SO2.1.4-01. </t>
  </si>
  <si>
    <t>Znižan za 150.000 € in prerazporeditev na operacijo AM.SO2.1.4-01.</t>
  </si>
  <si>
    <t>Znižan za 4.449.073,28 € in prerazporeditev na operacijo AM.SO2.1.4-01 in operacijo AM.SO1.1.1-03 (513.153,29 €).</t>
  </si>
  <si>
    <t xml:space="preserve"> Prenos 400.000,00 € na operacijo AM.SO2.1.4-01.</t>
  </si>
  <si>
    <t>Povečanje sredstev za 6.342.015,67 € iz ostankov (2023+2024), nerazporejenih operacij ter nižanj od drugih operacij. Pri tej operaciji še dodatno potrebujemo 10.937.064,78 € glede na pobude in predvidevanja Sektorja za integracijo, ki še niso vključeni v skupno vrednost operacije.</t>
  </si>
  <si>
    <t xml:space="preserve"> Prenos 155.000,00 € na operacijo AM.SO2.1.4-01.</t>
  </si>
  <si>
    <t xml:space="preserve"> Prenos 133.000,00 € na operacijo AM.SO2.1.4-01.</t>
  </si>
  <si>
    <t>AM.SO5.9.4-01</t>
  </si>
  <si>
    <t xml:space="preserve">Tehnična pomoč </t>
  </si>
  <si>
    <t>MNZ</t>
  </si>
  <si>
    <t>Strošk osebja, vzdrževanja opreme in prostorov</t>
  </si>
  <si>
    <t>Akcijski načrt AMIF 2021-2027 (različica 3.0)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</si>
</sst>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2" fillId="4" borderId="1" xfId="0" applyFont="1" applyFill="1" applyBorder="1" applyProtection="1">
      <protection locked="0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5" borderId="1" xfId="0" applyNumberFormat="1" applyFont="1" applyFill="1" applyBorder="1" applyAlignment="1" applyProtection="1">
      <alignment vertical="top"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vertical="justify"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Font="1" applyFill="1" applyBorder="1" applyProtection="1">
      <protection locked="0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6" fillId="3" borderId="1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vertical="justify"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4" fontId="2" fillId="0" borderId="4" xfId="0" applyNumberFormat="1" applyFont="1" applyFill="1" applyBorder="1" applyAlignment="1" applyProtection="1">
      <alignment wrapText="1"/>
    </xf>
    <xf numFmtId="0" fontId="0" fillId="3" borderId="0" xfId="0" applyFill="1"/>
    <xf numFmtId="4" fontId="2" fillId="4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2" fillId="0" borderId="0" xfId="0" applyNumberFormat="1" applyFont="1" applyFill="1"/>
    <xf numFmtId="4" fontId="2" fillId="4" borderId="1" xfId="0" applyNumberFormat="1" applyFont="1" applyFill="1" applyBorder="1" applyAlignment="1" applyProtection="1">
      <alignment vertical="top" wrapText="1"/>
    </xf>
    <xf numFmtId="4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Fill="1" applyBorder="1" applyAlignment="1" applyProtection="1">
      <alignment vertical="top" wrapText="1"/>
    </xf>
    <xf numFmtId="4" fontId="5" fillId="0" borderId="1" xfId="0" applyNumberFormat="1" applyFont="1" applyFill="1" applyBorder="1" applyAlignment="1" applyProtection="1">
      <alignment vertical="top" wrapText="1"/>
    </xf>
    <xf numFmtId="0" fontId="2" fillId="4" borderId="1" xfId="0" applyNumberFormat="1" applyFont="1" applyFill="1" applyBorder="1" applyAlignment="1" applyProtection="1">
      <alignment vertical="top" wrapText="1"/>
    </xf>
    <xf numFmtId="0" fontId="5" fillId="4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5" fillId="4" borderId="1" xfId="0" applyNumberFormat="1" applyFont="1" applyFill="1" applyBorder="1" applyAlignment="1">
      <alignment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662989</xdr:colOff>
      <xdr:row>0</xdr:row>
      <xdr:rowOff>85725</xdr:rowOff>
    </xdr:from>
    <xdr:to>
      <xdr:col>13</xdr:col>
      <xdr:colOff>13576</xdr:colOff>
      <xdr:row>1</xdr:row>
      <xdr:rowOff>199844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E2D60C0-FDB6-45DB-8E0F-5E7B2F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039" y="85725"/>
          <a:ext cx="1160337" cy="314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783</v>
      </c>
      <c r="B1" s="62" t="s">
        <v>784</v>
      </c>
      <c r="C1" s="62" t="s">
        <v>785</v>
      </c>
      <c r="D1" s="63" t="s">
        <v>786</v>
      </c>
      <c r="E1" s="63" t="s">
        <v>787</v>
      </c>
      <c r="F1" s="63" t="s">
        <v>788</v>
      </c>
      <c r="G1" s="63" t="s">
        <v>789</v>
      </c>
      <c r="H1" s="63" t="s">
        <v>790</v>
      </c>
      <c r="I1" s="63" t="s">
        <v>791</v>
      </c>
      <c r="J1" s="63" t="s">
        <v>792</v>
      </c>
      <c r="K1" s="63" t="s">
        <v>793</v>
      </c>
      <c r="L1" s="63" t="s">
        <v>794</v>
      </c>
      <c r="M1" s="63" t="s">
        <v>795</v>
      </c>
      <c r="N1" s="63" t="s">
        <v>796</v>
      </c>
      <c r="O1" s="8" t="s">
        <v>797</v>
      </c>
      <c r="P1" s="8" t="s">
        <v>798</v>
      </c>
      <c r="Q1" s="8" t="s">
        <v>799</v>
      </c>
      <c r="R1" s="8" t="s">
        <v>800</v>
      </c>
      <c r="S1" s="8" t="s">
        <v>792</v>
      </c>
      <c r="T1" s="8" t="s">
        <v>793</v>
      </c>
    </row>
    <row r="2" spans="1:21" ht="25.5" x14ac:dyDescent="0.2">
      <c r="A2" s="64"/>
      <c r="B2" s="64"/>
      <c r="C2" s="64" t="s">
        <v>811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813</v>
      </c>
    </row>
    <row r="3" spans="1:21" ht="25.5" x14ac:dyDescent="0.2">
      <c r="A3" s="66"/>
      <c r="B3" s="66"/>
      <c r="C3" s="66" t="s">
        <v>811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814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830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812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831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812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812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812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812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812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812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812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812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812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812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812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812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812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812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812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815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812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812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812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812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812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812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812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812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812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812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812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812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812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812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812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812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812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</row>
    <row r="2" spans="1:28" ht="33" customHeight="1" x14ac:dyDescent="0.2">
      <c r="A2" s="27">
        <v>1</v>
      </c>
      <c r="B2" s="28"/>
      <c r="C2" s="28"/>
      <c r="D2" s="28" t="s">
        <v>817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187</v>
      </c>
      <c r="E3" s="18" t="s">
        <v>188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189</v>
      </c>
      <c r="E4" s="18" t="s">
        <v>188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190</v>
      </c>
      <c r="E5" s="18" t="s">
        <v>188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191</v>
      </c>
      <c r="E6" s="9" t="s">
        <v>188</v>
      </c>
      <c r="F6" s="9" t="s">
        <v>11</v>
      </c>
      <c r="G6" s="9"/>
      <c r="H6" s="9" t="s">
        <v>192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193</v>
      </c>
      <c r="E7" s="25" t="s">
        <v>194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193</v>
      </c>
      <c r="E8" s="18" t="s">
        <v>194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195</v>
      </c>
      <c r="E9" s="25" t="s">
        <v>196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195</v>
      </c>
      <c r="E10" s="18" t="s">
        <v>196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197</v>
      </c>
      <c r="E11" s="18" t="s">
        <v>198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199</v>
      </c>
      <c r="E12" s="9" t="s">
        <v>198</v>
      </c>
      <c r="F12" s="9" t="s">
        <v>11</v>
      </c>
      <c r="G12" s="9"/>
      <c r="H12" s="9" t="s">
        <v>192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200</v>
      </c>
      <c r="E13" s="14" t="s">
        <v>201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202</v>
      </c>
      <c r="E14" s="9" t="s">
        <v>203</v>
      </c>
      <c r="F14" s="9" t="s">
        <v>11</v>
      </c>
      <c r="G14" s="9"/>
      <c r="H14" s="9" t="s">
        <v>192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204</v>
      </c>
      <c r="E15" s="22" t="s">
        <v>205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206</v>
      </c>
      <c r="E16" s="18" t="s">
        <v>207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208</v>
      </c>
      <c r="E17" s="9" t="s">
        <v>209</v>
      </c>
      <c r="F17" s="9" t="s">
        <v>11</v>
      </c>
      <c r="G17" s="9"/>
      <c r="H17" s="9" t="s">
        <v>192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210</v>
      </c>
      <c r="E18" s="8" t="s">
        <v>209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211</v>
      </c>
      <c r="E19" s="9" t="s">
        <v>212</v>
      </c>
      <c r="F19" s="9" t="s">
        <v>11</v>
      </c>
      <c r="G19" s="9"/>
      <c r="H19" s="9" t="s">
        <v>192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213</v>
      </c>
      <c r="E20" s="8" t="s">
        <v>212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214</v>
      </c>
      <c r="E21" s="18" t="s">
        <v>215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216</v>
      </c>
      <c r="E22" s="9" t="s">
        <v>217</v>
      </c>
      <c r="F22" s="9" t="s">
        <v>11</v>
      </c>
      <c r="G22" s="9"/>
      <c r="H22" s="9" t="s">
        <v>192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218</v>
      </c>
      <c r="E23" s="22" t="s">
        <v>217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219</v>
      </c>
      <c r="E24" s="18" t="s">
        <v>220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222</v>
      </c>
      <c r="E25" s="9" t="s">
        <v>223</v>
      </c>
      <c r="F25" s="9" t="s">
        <v>11</v>
      </c>
      <c r="G25" s="9"/>
      <c r="H25" s="9" t="s">
        <v>192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224</v>
      </c>
      <c r="E26" s="8" t="s">
        <v>221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225</v>
      </c>
      <c r="E27" s="18" t="s">
        <v>226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227</v>
      </c>
      <c r="E28" s="9" t="s">
        <v>226</v>
      </c>
      <c r="F28" s="9" t="s">
        <v>11</v>
      </c>
      <c r="G28" s="9"/>
      <c r="H28" s="9" t="s">
        <v>192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228</v>
      </c>
      <c r="E29" s="25" t="s">
        <v>229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228</v>
      </c>
      <c r="E30" s="18" t="s">
        <v>229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230</v>
      </c>
      <c r="E31" s="18" t="s">
        <v>231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232</v>
      </c>
      <c r="E32" s="9" t="s">
        <v>233</v>
      </c>
      <c r="F32" s="9" t="s">
        <v>11</v>
      </c>
      <c r="G32" s="9"/>
      <c r="H32" s="9" t="s">
        <v>192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234</v>
      </c>
      <c r="E33" s="8" t="s">
        <v>233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235</v>
      </c>
      <c r="E34" s="18" t="s">
        <v>236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237</v>
      </c>
      <c r="E35" s="9" t="s">
        <v>238</v>
      </c>
      <c r="F35" s="9" t="s">
        <v>11</v>
      </c>
      <c r="G35" s="9"/>
      <c r="H35" s="9" t="s">
        <v>192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239</v>
      </c>
      <c r="E36" s="14" t="s">
        <v>240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241</v>
      </c>
      <c r="E37" s="18" t="s">
        <v>242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244</v>
      </c>
      <c r="E38" s="9" t="s">
        <v>245</v>
      </c>
      <c r="F38" s="9" t="s">
        <v>11</v>
      </c>
      <c r="G38" s="9"/>
      <c r="H38" s="9" t="s">
        <v>192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246</v>
      </c>
      <c r="E39" s="8" t="s">
        <v>243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247</v>
      </c>
      <c r="E40" s="25" t="s">
        <v>248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247</v>
      </c>
      <c r="E41" s="18" t="s">
        <v>248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249</v>
      </c>
      <c r="E42" s="18" t="s">
        <v>250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251</v>
      </c>
      <c r="E43" s="11" t="s">
        <v>252</v>
      </c>
      <c r="F43" s="11" t="s">
        <v>11</v>
      </c>
      <c r="G43" s="11"/>
      <c r="H43" s="11" t="s">
        <v>192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253</v>
      </c>
      <c r="E44" s="8" t="s">
        <v>254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255</v>
      </c>
      <c r="E45" s="11" t="s">
        <v>256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257</v>
      </c>
      <c r="E46" s="8" t="s">
        <v>258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259</v>
      </c>
      <c r="E47" s="8" t="s">
        <v>260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261</v>
      </c>
      <c r="E48" s="11" t="s">
        <v>262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264</v>
      </c>
      <c r="E49" s="9" t="s">
        <v>262</v>
      </c>
      <c r="F49" s="9" t="s">
        <v>11</v>
      </c>
      <c r="G49" s="9" t="s">
        <v>265</v>
      </c>
      <c r="H49" s="9" t="s">
        <v>186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266</v>
      </c>
      <c r="E50" s="11" t="s">
        <v>263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267</v>
      </c>
      <c r="E51" s="8" t="s">
        <v>268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269</v>
      </c>
      <c r="E52" s="9" t="s">
        <v>270</v>
      </c>
      <c r="F52" s="9" t="s">
        <v>11</v>
      </c>
      <c r="G52" s="9" t="s">
        <v>265</v>
      </c>
      <c r="H52" s="9" t="s">
        <v>186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271</v>
      </c>
      <c r="E53" s="8" t="s">
        <v>270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272</v>
      </c>
      <c r="E54" s="11" t="s">
        <v>273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274</v>
      </c>
      <c r="E55" s="8" t="s">
        <v>275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276</v>
      </c>
      <c r="E56" s="11" t="s">
        <v>277</v>
      </c>
      <c r="F56" s="11" t="s">
        <v>11</v>
      </c>
      <c r="G56" s="11" t="s">
        <v>265</v>
      </c>
      <c r="H56" s="11" t="s">
        <v>186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278</v>
      </c>
      <c r="E57" s="8" t="s">
        <v>277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279</v>
      </c>
      <c r="E58" s="11" t="s">
        <v>280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281</v>
      </c>
      <c r="E59" s="8" t="s">
        <v>282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283</v>
      </c>
      <c r="E60" s="11" t="s">
        <v>284</v>
      </c>
      <c r="F60" s="11" t="s">
        <v>11</v>
      </c>
      <c r="G60" s="11" t="s">
        <v>265</v>
      </c>
      <c r="H60" s="11" t="s">
        <v>285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286</v>
      </c>
      <c r="E61" s="8" t="s">
        <v>287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288</v>
      </c>
      <c r="E62" s="11" t="s">
        <v>289</v>
      </c>
      <c r="F62" s="11" t="s">
        <v>11</v>
      </c>
      <c r="G62" s="11" t="s">
        <v>265</v>
      </c>
      <c r="H62" s="11" t="s">
        <v>285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290</v>
      </c>
      <c r="E63" s="8" t="s">
        <v>289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291</v>
      </c>
      <c r="E64" s="11" t="s">
        <v>292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293</v>
      </c>
      <c r="E65" s="8" t="s">
        <v>294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295</v>
      </c>
      <c r="E66" s="11" t="s">
        <v>296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297</v>
      </c>
      <c r="E67" s="8" t="s">
        <v>298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299</v>
      </c>
      <c r="E68" s="11" t="s">
        <v>300</v>
      </c>
      <c r="F68" s="11" t="s">
        <v>11</v>
      </c>
      <c r="G68" s="11" t="s">
        <v>265</v>
      </c>
      <c r="H68" s="11" t="s">
        <v>186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301</v>
      </c>
      <c r="E69" s="8" t="s">
        <v>302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303</v>
      </c>
      <c r="E70" s="11" t="s">
        <v>304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305</v>
      </c>
      <c r="E71" s="8" t="s">
        <v>306</v>
      </c>
      <c r="F71" s="8" t="s">
        <v>11</v>
      </c>
      <c r="G71" s="8" t="s">
        <v>265</v>
      </c>
      <c r="H71" s="8" t="s">
        <v>186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307</v>
      </c>
      <c r="E72" s="11" t="s">
        <v>306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308</v>
      </c>
      <c r="E73" s="8" t="s">
        <v>309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310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311</v>
      </c>
      <c r="E75" s="8" t="s">
        <v>229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312</v>
      </c>
      <c r="E76" s="11" t="s">
        <v>313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314</v>
      </c>
      <c r="E77" s="8" t="s">
        <v>315</v>
      </c>
      <c r="F77" s="8" t="s">
        <v>11</v>
      </c>
      <c r="G77" s="8" t="s">
        <v>265</v>
      </c>
      <c r="H77" s="8" t="s">
        <v>316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317</v>
      </c>
      <c r="E78" s="11" t="s">
        <v>318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319</v>
      </c>
      <c r="E79" s="8" t="s">
        <v>320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321</v>
      </c>
      <c r="E80" s="11" t="s">
        <v>322</v>
      </c>
      <c r="F80" s="11" t="s">
        <v>11</v>
      </c>
      <c r="G80" s="11" t="s">
        <v>265</v>
      </c>
      <c r="H80" s="11" t="s">
        <v>316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323</v>
      </c>
      <c r="E81" s="8" t="s">
        <v>324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325</v>
      </c>
      <c r="E82" s="11" t="s">
        <v>326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327</v>
      </c>
      <c r="E83" s="8" t="s">
        <v>328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329</v>
      </c>
      <c r="E84" s="11" t="s">
        <v>330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331</v>
      </c>
      <c r="E85" s="8" t="s">
        <v>332</v>
      </c>
      <c r="F85" s="8" t="s">
        <v>11</v>
      </c>
      <c r="G85" s="8" t="s">
        <v>265</v>
      </c>
      <c r="H85" s="8" t="s">
        <v>186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333</v>
      </c>
      <c r="E86" s="11" t="s">
        <v>332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334</v>
      </c>
      <c r="E87" s="8" t="s">
        <v>335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336</v>
      </c>
      <c r="E88" s="11" t="s">
        <v>337</v>
      </c>
      <c r="F88" s="11" t="s">
        <v>11</v>
      </c>
      <c r="G88" s="11"/>
      <c r="H88" s="11" t="s">
        <v>316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338</v>
      </c>
      <c r="E89" s="8" t="s">
        <v>339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340</v>
      </c>
      <c r="E90" s="11" t="s">
        <v>341</v>
      </c>
      <c r="F90" s="11" t="s">
        <v>11</v>
      </c>
      <c r="G90" s="11" t="s">
        <v>265</v>
      </c>
      <c r="H90" s="11" t="s">
        <v>186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342</v>
      </c>
      <c r="E91" s="8" t="s">
        <v>341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343</v>
      </c>
      <c r="E92" s="11" t="s">
        <v>344</v>
      </c>
      <c r="F92" s="11" t="s">
        <v>11</v>
      </c>
      <c r="G92" s="11"/>
      <c r="H92" s="11" t="s">
        <v>285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345</v>
      </c>
      <c r="E93" s="8" t="s">
        <v>346</v>
      </c>
      <c r="F93" s="8" t="s">
        <v>11</v>
      </c>
      <c r="G93" s="8"/>
      <c r="H93" s="8" t="s">
        <v>285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347</v>
      </c>
      <c r="E94" s="11" t="s">
        <v>348</v>
      </c>
      <c r="F94" s="11" t="s">
        <v>11</v>
      </c>
      <c r="G94" s="11"/>
      <c r="H94" s="11" t="s">
        <v>285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349</v>
      </c>
      <c r="E95" s="8" t="s">
        <v>350</v>
      </c>
      <c r="F95" s="8" t="s">
        <v>11</v>
      </c>
      <c r="G95" s="8"/>
      <c r="H95" s="8" t="s">
        <v>285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351</v>
      </c>
      <c r="E96" s="11" t="s">
        <v>352</v>
      </c>
      <c r="F96" s="11" t="s">
        <v>11</v>
      </c>
      <c r="G96" s="11"/>
      <c r="H96" s="11" t="s">
        <v>186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353</v>
      </c>
      <c r="E97" s="8" t="s">
        <v>354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355</v>
      </c>
      <c r="E98" s="11" t="s">
        <v>356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357</v>
      </c>
      <c r="E99" s="8" t="s">
        <v>358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359</v>
      </c>
      <c r="E100" s="11" t="s">
        <v>360</v>
      </c>
      <c r="F100" s="11" t="s">
        <v>11</v>
      </c>
      <c r="G100" s="11"/>
      <c r="H100" s="11" t="s">
        <v>285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361</v>
      </c>
      <c r="E101" s="8" t="s">
        <v>362</v>
      </c>
      <c r="F101" s="8" t="s">
        <v>11</v>
      </c>
      <c r="G101" s="8" t="s">
        <v>265</v>
      </c>
      <c r="H101" s="8" t="s">
        <v>186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363</v>
      </c>
      <c r="E102" s="11" t="s">
        <v>362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364</v>
      </c>
      <c r="E103" s="8" t="s">
        <v>365</v>
      </c>
      <c r="F103" s="8" t="s">
        <v>11</v>
      </c>
      <c r="G103" s="8" t="s">
        <v>265</v>
      </c>
      <c r="H103" s="8" t="s">
        <v>186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366</v>
      </c>
      <c r="E104" s="11" t="s">
        <v>365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367</v>
      </c>
      <c r="E105" s="8" t="s">
        <v>368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369</v>
      </c>
      <c r="E106" s="11" t="s">
        <v>370</v>
      </c>
      <c r="F106" s="11" t="s">
        <v>11</v>
      </c>
      <c r="G106" s="11" t="s">
        <v>265</v>
      </c>
      <c r="H106" s="11" t="s">
        <v>186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371</v>
      </c>
      <c r="E107" s="8" t="s">
        <v>370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372</v>
      </c>
      <c r="E108" s="11" t="s">
        <v>373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374</v>
      </c>
      <c r="E109" s="8" t="s">
        <v>375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376</v>
      </c>
      <c r="E110" s="11" t="s">
        <v>196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377</v>
      </c>
      <c r="E111" s="8" t="s">
        <v>378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379</v>
      </c>
      <c r="E112" s="11" t="s">
        <v>378</v>
      </c>
      <c r="F112" s="11" t="s">
        <v>11</v>
      </c>
      <c r="G112" s="11" t="s">
        <v>265</v>
      </c>
      <c r="H112" s="11" t="s">
        <v>380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381</v>
      </c>
      <c r="E113" s="8" t="s">
        <v>382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383</v>
      </c>
      <c r="E114" s="11" t="s">
        <v>384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385</v>
      </c>
      <c r="E115" s="8" t="s">
        <v>386</v>
      </c>
      <c r="F115" s="8" t="s">
        <v>11</v>
      </c>
      <c r="G115" s="8" t="s">
        <v>265</v>
      </c>
      <c r="H115" s="8" t="s">
        <v>387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388</v>
      </c>
      <c r="E116" s="11" t="s">
        <v>389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390</v>
      </c>
      <c r="E117" s="8" t="s">
        <v>391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392</v>
      </c>
      <c r="E118" s="11" t="s">
        <v>393</v>
      </c>
      <c r="F118" s="11" t="s">
        <v>11</v>
      </c>
      <c r="G118" s="11" t="s">
        <v>265</v>
      </c>
      <c r="H118" s="11" t="s">
        <v>186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394</v>
      </c>
      <c r="E119" s="8" t="s">
        <v>393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395</v>
      </c>
      <c r="E120" s="11" t="s">
        <v>396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397</v>
      </c>
      <c r="E121" s="8" t="s">
        <v>398</v>
      </c>
      <c r="F121" s="8" t="s">
        <v>11</v>
      </c>
      <c r="G121" s="8"/>
      <c r="H121" s="8" t="s">
        <v>285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399</v>
      </c>
      <c r="E122" s="11" t="s">
        <v>400</v>
      </c>
      <c r="F122" s="11" t="s">
        <v>11</v>
      </c>
      <c r="G122" s="11"/>
      <c r="H122" s="11" t="s">
        <v>285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401</v>
      </c>
      <c r="E123" s="8" t="s">
        <v>402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403</v>
      </c>
      <c r="E124" s="11" t="s">
        <v>404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405</v>
      </c>
      <c r="E125" s="8" t="s">
        <v>406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407</v>
      </c>
      <c r="E126" s="11" t="s">
        <v>408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409</v>
      </c>
      <c r="E127" s="8" t="s">
        <v>410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411</v>
      </c>
      <c r="E128" s="11" t="s">
        <v>412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413</v>
      </c>
      <c r="E129" s="8" t="s">
        <v>414</v>
      </c>
      <c r="F129" s="8" t="s">
        <v>11</v>
      </c>
      <c r="G129" s="8" t="s">
        <v>265</v>
      </c>
      <c r="H129" s="8" t="s">
        <v>192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415</v>
      </c>
      <c r="E130" s="11" t="s">
        <v>416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417</v>
      </c>
      <c r="E131" s="8" t="s">
        <v>418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419</v>
      </c>
      <c r="E132" s="11" t="s">
        <v>412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420</v>
      </c>
      <c r="E133" s="8" t="s">
        <v>421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422</v>
      </c>
      <c r="E134" s="11" t="s">
        <v>423</v>
      </c>
      <c r="F134" s="11" t="s">
        <v>11</v>
      </c>
      <c r="G134" s="11" t="s">
        <v>265</v>
      </c>
      <c r="H134" s="11" t="s">
        <v>285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424</v>
      </c>
      <c r="E135" s="8" t="s">
        <v>423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425</v>
      </c>
      <c r="E136" s="11" t="s">
        <v>426</v>
      </c>
      <c r="F136" s="11" t="s">
        <v>11</v>
      </c>
      <c r="G136" s="11" t="s">
        <v>12</v>
      </c>
      <c r="H136" s="11" t="s">
        <v>427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428</v>
      </c>
      <c r="E137" s="8" t="s">
        <v>429</v>
      </c>
      <c r="F137" s="8" t="s">
        <v>11</v>
      </c>
      <c r="G137" s="8" t="s">
        <v>12</v>
      </c>
      <c r="H137" s="8" t="s">
        <v>285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430</v>
      </c>
      <c r="E138" s="11" t="s">
        <v>431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432</v>
      </c>
      <c r="E139" s="8" t="s">
        <v>433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434</v>
      </c>
      <c r="E140" s="11" t="s">
        <v>435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436</v>
      </c>
      <c r="E141" s="8" t="s">
        <v>437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438</v>
      </c>
      <c r="E142" s="11" t="s">
        <v>437</v>
      </c>
      <c r="F142" s="11" t="s">
        <v>11</v>
      </c>
      <c r="G142" s="11"/>
      <c r="H142" s="11" t="s">
        <v>285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439</v>
      </c>
      <c r="E143" s="8" t="s">
        <v>440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441</v>
      </c>
      <c r="E144" s="11" t="s">
        <v>442</v>
      </c>
      <c r="F144" s="11" t="s">
        <v>11</v>
      </c>
      <c r="G144" s="11" t="s">
        <v>12</v>
      </c>
      <c r="H144" s="11" t="s">
        <v>285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443</v>
      </c>
      <c r="E145" s="8" t="s">
        <v>444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445</v>
      </c>
      <c r="E146" s="11" t="s">
        <v>446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447</v>
      </c>
      <c r="E147" s="8" t="s">
        <v>448</v>
      </c>
      <c r="F147" s="8" t="s">
        <v>11</v>
      </c>
      <c r="G147" s="8" t="s">
        <v>12</v>
      </c>
      <c r="H147" s="8" t="s">
        <v>285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449</v>
      </c>
      <c r="E148" s="11" t="s">
        <v>448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450</v>
      </c>
      <c r="E149" s="8" t="s">
        <v>451</v>
      </c>
      <c r="F149" s="8" t="s">
        <v>11</v>
      </c>
      <c r="G149" s="8" t="s">
        <v>28</v>
      </c>
      <c r="H149" s="8" t="s">
        <v>285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452</v>
      </c>
      <c r="E150" s="11" t="s">
        <v>451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453</v>
      </c>
      <c r="E151" s="8" t="s">
        <v>454</v>
      </c>
      <c r="F151" s="8" t="s">
        <v>11</v>
      </c>
      <c r="G151" s="8"/>
      <c r="H151" s="8" t="s">
        <v>186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455</v>
      </c>
      <c r="E152" s="11" t="s">
        <v>456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458</v>
      </c>
      <c r="E153" s="8" t="s">
        <v>456</v>
      </c>
      <c r="F153" s="8" t="s">
        <v>11</v>
      </c>
      <c r="G153" s="8" t="s">
        <v>28</v>
      </c>
      <c r="H153" s="8" t="s">
        <v>186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459</v>
      </c>
      <c r="E154" s="11" t="s">
        <v>457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460</v>
      </c>
      <c r="E155" s="8" t="s">
        <v>461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462</v>
      </c>
      <c r="E156" s="11" t="s">
        <v>461</v>
      </c>
      <c r="F156" s="11" t="s">
        <v>11</v>
      </c>
      <c r="G156" s="11" t="s">
        <v>36</v>
      </c>
      <c r="H156" s="11" t="s">
        <v>380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463</v>
      </c>
      <c r="E157" s="8" t="s">
        <v>461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464</v>
      </c>
      <c r="E158" s="11" t="s">
        <v>465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466</v>
      </c>
      <c r="E159" s="8" t="s">
        <v>467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468</v>
      </c>
      <c r="E160" s="11" t="s">
        <v>469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470</v>
      </c>
      <c r="E161" s="8" t="s">
        <v>471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472</v>
      </c>
      <c r="E162" s="11" t="s">
        <v>473</v>
      </c>
      <c r="F162" s="11" t="s">
        <v>11</v>
      </c>
      <c r="G162" s="11"/>
      <c r="H162" s="11" t="s">
        <v>285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474</v>
      </c>
      <c r="E163" s="8" t="s">
        <v>475</v>
      </c>
      <c r="F163" s="8" t="s">
        <v>11</v>
      </c>
      <c r="G163" s="8"/>
      <c r="H163" s="8" t="s">
        <v>285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476</v>
      </c>
      <c r="E164" s="11" t="s">
        <v>477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478</v>
      </c>
      <c r="E165" s="8" t="s">
        <v>477</v>
      </c>
      <c r="F165" s="8" t="s">
        <v>11</v>
      </c>
      <c r="G165" s="8" t="s">
        <v>36</v>
      </c>
      <c r="H165" s="8" t="s">
        <v>285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479</v>
      </c>
      <c r="E166" s="11" t="s">
        <v>477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4"/>
  <sheetViews>
    <sheetView topLeftCell="A34" zoomScale="85" zoomScaleNormal="85" workbookViewId="0">
      <selection activeCell="K30" sqref="K30:M30"/>
    </sheetView>
  </sheetViews>
  <sheetFormatPr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  <c r="AC1" s="8" t="s">
        <v>821</v>
      </c>
      <c r="AE1" s="8" t="s">
        <v>792</v>
      </c>
      <c r="AF1" s="8" t="s">
        <v>793</v>
      </c>
    </row>
    <row r="2" spans="1:32" ht="25.5" x14ac:dyDescent="0.2">
      <c r="A2" s="27"/>
      <c r="B2" s="28"/>
      <c r="C2" s="28"/>
      <c r="D2" s="28" t="s">
        <v>480</v>
      </c>
      <c r="E2" s="28" t="s">
        <v>481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480</v>
      </c>
      <c r="E3" s="18" t="s">
        <v>481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823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482</v>
      </c>
      <c r="E4" s="25" t="s">
        <v>483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482</v>
      </c>
      <c r="E5" s="18" t="s">
        <v>483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824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484</v>
      </c>
      <c r="E6" s="18" t="s">
        <v>485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486</v>
      </c>
      <c r="E7" s="9" t="s">
        <v>487</v>
      </c>
      <c r="F7" s="9" t="s">
        <v>11</v>
      </c>
      <c r="G7" s="9" t="s">
        <v>36</v>
      </c>
      <c r="H7" s="9" t="s">
        <v>488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489</v>
      </c>
      <c r="E8" s="14" t="s">
        <v>490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491</v>
      </c>
      <c r="E9" s="9" t="s">
        <v>492</v>
      </c>
      <c r="F9" s="9" t="s">
        <v>11</v>
      </c>
      <c r="G9" s="9" t="s">
        <v>36</v>
      </c>
      <c r="H9" s="9" t="s">
        <v>285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493</v>
      </c>
      <c r="E10" s="14" t="s">
        <v>492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494</v>
      </c>
      <c r="E11" s="9" t="s">
        <v>495</v>
      </c>
      <c r="F11" s="9" t="s">
        <v>11</v>
      </c>
      <c r="G11" s="9" t="s">
        <v>23</v>
      </c>
      <c r="H11" s="9" t="s">
        <v>488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496</v>
      </c>
      <c r="E12" s="14" t="s">
        <v>497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498</v>
      </c>
      <c r="E13" s="9" t="s">
        <v>499</v>
      </c>
      <c r="F13" s="9" t="s">
        <v>11</v>
      </c>
      <c r="G13" s="9" t="s">
        <v>23</v>
      </c>
      <c r="H13" s="9" t="s">
        <v>500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501</v>
      </c>
      <c r="E14" s="9" t="s">
        <v>502</v>
      </c>
      <c r="F14" s="9" t="s">
        <v>11</v>
      </c>
      <c r="G14" s="9" t="s">
        <v>23</v>
      </c>
      <c r="H14" s="9" t="s">
        <v>500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503</v>
      </c>
      <c r="E15" s="8" t="s">
        <v>502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504</v>
      </c>
      <c r="E16" s="9" t="s">
        <v>505</v>
      </c>
      <c r="F16" s="9" t="s">
        <v>11</v>
      </c>
      <c r="G16" s="9" t="s">
        <v>23</v>
      </c>
      <c r="H16" s="9" t="s">
        <v>488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506</v>
      </c>
      <c r="E17" s="8" t="s">
        <v>505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818</v>
      </c>
      <c r="C18" s="9"/>
      <c r="D18" s="9" t="s">
        <v>819</v>
      </c>
      <c r="E18" s="9" t="s">
        <v>820</v>
      </c>
      <c r="F18" s="9" t="s">
        <v>11</v>
      </c>
      <c r="G18" s="9" t="s">
        <v>23</v>
      </c>
      <c r="H18" s="9" t="s">
        <v>500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507</v>
      </c>
      <c r="E19" s="18" t="s">
        <v>508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509</v>
      </c>
      <c r="E20" s="9" t="s">
        <v>510</v>
      </c>
      <c r="F20" s="9" t="s">
        <v>11</v>
      </c>
      <c r="G20" s="9" t="s">
        <v>23</v>
      </c>
      <c r="H20" s="9" t="s">
        <v>488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511</v>
      </c>
      <c r="E21" s="22" t="s">
        <v>512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822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513</v>
      </c>
      <c r="E22" s="9" t="s">
        <v>514</v>
      </c>
      <c r="F22" s="9" t="s">
        <v>11</v>
      </c>
      <c r="G22" s="9" t="s">
        <v>23</v>
      </c>
      <c r="H22" s="9" t="s">
        <v>488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515</v>
      </c>
      <c r="E23" s="14" t="s">
        <v>516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517</v>
      </c>
      <c r="E24" s="9" t="s">
        <v>518</v>
      </c>
      <c r="F24" s="9" t="s">
        <v>11</v>
      </c>
      <c r="G24" s="9" t="s">
        <v>23</v>
      </c>
      <c r="H24" s="9" t="s">
        <v>488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519</v>
      </c>
      <c r="E25" s="22" t="s">
        <v>518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520</v>
      </c>
      <c r="E26" s="9" t="s">
        <v>521</v>
      </c>
      <c r="F26" s="9" t="s">
        <v>11</v>
      </c>
      <c r="G26" s="9"/>
      <c r="H26" s="9" t="s">
        <v>488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522</v>
      </c>
      <c r="E27" s="9" t="s">
        <v>523</v>
      </c>
      <c r="F27" s="9" t="s">
        <v>11</v>
      </c>
      <c r="G27" s="9"/>
      <c r="H27" s="9" t="s">
        <v>488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524</v>
      </c>
      <c r="E28" s="8" t="s">
        <v>523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525</v>
      </c>
      <c r="E29" s="9" t="s">
        <v>526</v>
      </c>
      <c r="F29" s="9" t="s">
        <v>11</v>
      </c>
      <c r="G29" s="9"/>
      <c r="H29" s="9" t="s">
        <v>488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527</v>
      </c>
      <c r="E30" s="8" t="s">
        <v>526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528</v>
      </c>
      <c r="E31" s="18" t="s">
        <v>529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530</v>
      </c>
      <c r="E32" s="9" t="s">
        <v>531</v>
      </c>
      <c r="F32" s="9" t="s">
        <v>11</v>
      </c>
      <c r="G32" s="9" t="s">
        <v>23</v>
      </c>
      <c r="H32" s="9" t="s">
        <v>488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532</v>
      </c>
      <c r="E33" s="22" t="s">
        <v>531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533</v>
      </c>
      <c r="E34" s="9" t="s">
        <v>534</v>
      </c>
      <c r="F34" s="9" t="s">
        <v>11</v>
      </c>
      <c r="G34" s="9" t="s">
        <v>28</v>
      </c>
      <c r="H34" s="9" t="s">
        <v>285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535</v>
      </c>
      <c r="E35" s="14" t="s">
        <v>536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537</v>
      </c>
      <c r="E36" s="18" t="s">
        <v>538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539</v>
      </c>
      <c r="E37" s="9" t="s">
        <v>540</v>
      </c>
      <c r="F37" s="9" t="s">
        <v>11</v>
      </c>
      <c r="G37" s="9" t="s">
        <v>28</v>
      </c>
      <c r="H37" s="9" t="s">
        <v>488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541</v>
      </c>
      <c r="E38" s="8" t="s">
        <v>542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543</v>
      </c>
      <c r="E39" s="18" t="s">
        <v>544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545</v>
      </c>
      <c r="E40" s="9" t="s">
        <v>546</v>
      </c>
      <c r="F40" s="9" t="s">
        <v>11</v>
      </c>
      <c r="G40" s="9" t="s">
        <v>28</v>
      </c>
      <c r="H40" s="9" t="s">
        <v>488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547</v>
      </c>
      <c r="E41" s="22" t="s">
        <v>548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822</v>
      </c>
    </row>
    <row r="42" spans="1:32" ht="51" x14ac:dyDescent="0.2">
      <c r="A42" s="6">
        <v>348</v>
      </c>
      <c r="B42" s="18"/>
      <c r="C42" s="18"/>
      <c r="D42" s="18" t="s">
        <v>549</v>
      </c>
      <c r="E42" s="18" t="s">
        <v>550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551</v>
      </c>
      <c r="E43" s="9" t="s">
        <v>552</v>
      </c>
      <c r="F43" s="9" t="s">
        <v>11</v>
      </c>
      <c r="G43" s="9" t="s">
        <v>28</v>
      </c>
      <c r="H43" s="9" t="s">
        <v>553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554</v>
      </c>
      <c r="E44" s="8" t="s">
        <v>552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555</v>
      </c>
      <c r="E45" s="9" t="s">
        <v>556</v>
      </c>
      <c r="F45" s="9" t="s">
        <v>11</v>
      </c>
      <c r="G45" s="9" t="s">
        <v>557</v>
      </c>
      <c r="H45" s="9" t="s">
        <v>553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558</v>
      </c>
      <c r="E46" s="8" t="s">
        <v>559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560</v>
      </c>
      <c r="E47" s="25" t="s">
        <v>561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825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560</v>
      </c>
      <c r="E48" s="18" t="s">
        <v>561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562</v>
      </c>
      <c r="E49" s="18" t="s">
        <v>563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827</v>
      </c>
      <c r="AE49" s="34">
        <f>1044928/0.75</f>
        <v>1393237.3333333333</v>
      </c>
      <c r="AF49" s="16" t="s">
        <v>829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564</v>
      </c>
      <c r="E50" s="9" t="s">
        <v>565</v>
      </c>
      <c r="F50" s="9" t="s">
        <v>11</v>
      </c>
      <c r="G50" s="9" t="s">
        <v>557</v>
      </c>
      <c r="H50" s="9" t="s">
        <v>488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828</v>
      </c>
      <c r="AE50" s="34">
        <f>328406/0.75</f>
        <v>437874.66666666669</v>
      </c>
      <c r="AF50" s="16" t="s">
        <v>829</v>
      </c>
    </row>
    <row r="51" spans="1:32" ht="63.75" x14ac:dyDescent="0.2">
      <c r="A51" s="6">
        <v>356</v>
      </c>
      <c r="B51" s="8"/>
      <c r="C51" s="8">
        <v>93</v>
      </c>
      <c r="D51" s="8" t="s">
        <v>566</v>
      </c>
      <c r="E51" s="8" t="s">
        <v>567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822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568</v>
      </c>
      <c r="E52" s="9" t="s">
        <v>569</v>
      </c>
      <c r="F52" s="9" t="s">
        <v>11</v>
      </c>
      <c r="G52" s="9" t="s">
        <v>557</v>
      </c>
      <c r="H52" s="9" t="s">
        <v>488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570</v>
      </c>
      <c r="E53" s="8" t="s">
        <v>571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822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572</v>
      </c>
      <c r="E54" s="45" t="s">
        <v>573</v>
      </c>
      <c r="F54" s="45" t="s">
        <v>11</v>
      </c>
      <c r="G54" s="45" t="s">
        <v>557</v>
      </c>
      <c r="H54" s="45" t="s">
        <v>488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574</v>
      </c>
      <c r="E55" s="46" t="s">
        <v>575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822</v>
      </c>
    </row>
    <row r="56" spans="1:32" ht="25.5" x14ac:dyDescent="0.2">
      <c r="A56" s="6">
        <v>362</v>
      </c>
      <c r="B56" s="18"/>
      <c r="C56" s="18"/>
      <c r="D56" s="18" t="s">
        <v>576</v>
      </c>
      <c r="E56" s="18" t="s">
        <v>577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578</v>
      </c>
      <c r="E57" s="9" t="s">
        <v>579</v>
      </c>
      <c r="F57" s="9" t="s">
        <v>11</v>
      </c>
      <c r="G57" s="9" t="s">
        <v>36</v>
      </c>
      <c r="H57" s="9" t="s">
        <v>488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580</v>
      </c>
      <c r="E58" s="8" t="s">
        <v>579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581</v>
      </c>
      <c r="E59" s="18" t="s">
        <v>582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583</v>
      </c>
      <c r="E60" s="9" t="s">
        <v>584</v>
      </c>
      <c r="F60" s="9" t="s">
        <v>11</v>
      </c>
      <c r="G60" s="9" t="s">
        <v>36</v>
      </c>
      <c r="H60" s="9" t="s">
        <v>285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585</v>
      </c>
      <c r="E61" s="14" t="s">
        <v>586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587</v>
      </c>
      <c r="E62" s="18" t="s">
        <v>588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589</v>
      </c>
      <c r="E63" s="9" t="s">
        <v>590</v>
      </c>
      <c r="F63" s="9" t="s">
        <v>11</v>
      </c>
      <c r="G63" s="9" t="s">
        <v>36</v>
      </c>
      <c r="H63" s="9" t="s">
        <v>285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591</v>
      </c>
      <c r="E64" s="8" t="s">
        <v>592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822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593</v>
      </c>
      <c r="E65" s="9" t="s">
        <v>594</v>
      </c>
      <c r="F65" s="9" t="s">
        <v>11</v>
      </c>
      <c r="G65" s="9" t="s">
        <v>36</v>
      </c>
      <c r="H65" s="9" t="s">
        <v>285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595</v>
      </c>
      <c r="E66" s="8" t="s">
        <v>594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596</v>
      </c>
      <c r="E67" s="9" t="s">
        <v>597</v>
      </c>
      <c r="F67" s="9" t="s">
        <v>11</v>
      </c>
      <c r="G67" s="9" t="s">
        <v>36</v>
      </c>
      <c r="H67" s="9" t="s">
        <v>285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598</v>
      </c>
      <c r="E68" s="8" t="s">
        <v>599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600</v>
      </c>
      <c r="E69" s="18" t="s">
        <v>601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602</v>
      </c>
      <c r="E70" s="9" t="s">
        <v>603</v>
      </c>
      <c r="F70" s="9" t="s">
        <v>11</v>
      </c>
      <c r="G70" s="9" t="s">
        <v>185</v>
      </c>
      <c r="H70" s="9" t="s">
        <v>488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604</v>
      </c>
      <c r="E71" s="14" t="s">
        <v>605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822</v>
      </c>
    </row>
    <row r="72" spans="1:32" ht="38.25" x14ac:dyDescent="0.2">
      <c r="A72" s="6">
        <v>378</v>
      </c>
      <c r="B72" s="18"/>
      <c r="C72" s="18"/>
      <c r="D72" s="18" t="s">
        <v>606</v>
      </c>
      <c r="E72" s="18" t="s">
        <v>607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608</v>
      </c>
      <c r="E73" s="9" t="s">
        <v>609</v>
      </c>
      <c r="F73" s="9" t="s">
        <v>11</v>
      </c>
      <c r="G73" s="9" t="s">
        <v>185</v>
      </c>
      <c r="H73" s="9" t="s">
        <v>553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610</v>
      </c>
      <c r="E74" s="8" t="s">
        <v>611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822</v>
      </c>
    </row>
    <row r="75" spans="1:32" ht="23.25" customHeight="1" x14ac:dyDescent="0.2">
      <c r="A75" s="6">
        <v>381</v>
      </c>
      <c r="B75" s="25"/>
      <c r="C75" s="25"/>
      <c r="D75" s="25" t="s">
        <v>612</v>
      </c>
      <c r="E75" s="25" t="s">
        <v>613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826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612</v>
      </c>
      <c r="E76" s="18" t="s">
        <v>613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614</v>
      </c>
      <c r="E77" s="18" t="s">
        <v>615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616</v>
      </c>
      <c r="E78" s="9" t="s">
        <v>617</v>
      </c>
      <c r="F78" s="9" t="s">
        <v>11</v>
      </c>
      <c r="G78" s="9" t="s">
        <v>185</v>
      </c>
      <c r="H78" s="9" t="s">
        <v>488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618</v>
      </c>
      <c r="E79" s="8" t="s">
        <v>619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822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620</v>
      </c>
      <c r="E80" s="9" t="s">
        <v>621</v>
      </c>
      <c r="F80" s="9" t="s">
        <v>11</v>
      </c>
      <c r="G80" s="9" t="s">
        <v>265</v>
      </c>
      <c r="H80" s="9" t="s">
        <v>488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622</v>
      </c>
      <c r="E81" s="8" t="s">
        <v>623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822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624</v>
      </c>
      <c r="E82" s="9" t="s">
        <v>625</v>
      </c>
      <c r="F82" s="9" t="s">
        <v>11</v>
      </c>
      <c r="G82" s="9" t="s">
        <v>265</v>
      </c>
      <c r="H82" s="9" t="s">
        <v>488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626</v>
      </c>
      <c r="E83" s="8" t="s">
        <v>625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822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627</v>
      </c>
      <c r="E84" s="9" t="s">
        <v>628</v>
      </c>
      <c r="F84" s="9" t="s">
        <v>11</v>
      </c>
      <c r="G84" s="9" t="s">
        <v>265</v>
      </c>
      <c r="H84" s="9" t="s">
        <v>488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629</v>
      </c>
      <c r="E85" s="8" t="s">
        <v>628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630</v>
      </c>
      <c r="E86" s="9" t="s">
        <v>631</v>
      </c>
      <c r="F86" s="9" t="s">
        <v>11</v>
      </c>
      <c r="G86" s="9" t="s">
        <v>265</v>
      </c>
      <c r="H86" s="9" t="s">
        <v>488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632</v>
      </c>
      <c r="E87" s="8" t="s">
        <v>633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634</v>
      </c>
      <c r="E88" s="9" t="s">
        <v>635</v>
      </c>
      <c r="F88" s="9" t="s">
        <v>11</v>
      </c>
      <c r="G88" s="9" t="s">
        <v>265</v>
      </c>
      <c r="H88" s="9" t="s">
        <v>488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636</v>
      </c>
      <c r="E89" s="8" t="s">
        <v>637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822</v>
      </c>
    </row>
    <row r="90" spans="1:30" ht="38.25" x14ac:dyDescent="0.2">
      <c r="A90" s="6">
        <v>395</v>
      </c>
      <c r="B90" s="18"/>
      <c r="C90" s="18"/>
      <c r="D90" s="18" t="s">
        <v>638</v>
      </c>
      <c r="E90" s="18" t="s">
        <v>639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640</v>
      </c>
      <c r="E91" s="9" t="s">
        <v>641</v>
      </c>
      <c r="F91" s="9" t="s">
        <v>11</v>
      </c>
      <c r="G91" s="9" t="s">
        <v>28</v>
      </c>
      <c r="H91" s="9" t="s">
        <v>488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642</v>
      </c>
      <c r="E92" s="14" t="s">
        <v>641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643</v>
      </c>
      <c r="E93" s="9" t="s">
        <v>644</v>
      </c>
      <c r="F93" s="9" t="s">
        <v>11</v>
      </c>
      <c r="G93" s="9" t="s">
        <v>28</v>
      </c>
      <c r="H93" s="9" t="s">
        <v>488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645</v>
      </c>
      <c r="E94" s="14" t="s">
        <v>644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822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646</v>
      </c>
      <c r="E95" s="9" t="s">
        <v>647</v>
      </c>
      <c r="F95" s="9" t="s">
        <v>11</v>
      </c>
      <c r="G95" s="9" t="s">
        <v>28</v>
      </c>
      <c r="H95" s="9" t="s">
        <v>488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648</v>
      </c>
      <c r="E96" s="14" t="s">
        <v>647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649</v>
      </c>
      <c r="E97" s="18" t="s">
        <v>650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651</v>
      </c>
      <c r="E98" s="9" t="s">
        <v>652</v>
      </c>
      <c r="F98" s="9" t="s">
        <v>11</v>
      </c>
      <c r="G98" s="9" t="s">
        <v>28</v>
      </c>
      <c r="H98" s="9" t="s">
        <v>488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653</v>
      </c>
      <c r="E99" s="8" t="s">
        <v>654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822</v>
      </c>
    </row>
    <row r="100" spans="1:32" ht="25.5" x14ac:dyDescent="0.2">
      <c r="A100" s="6">
        <v>405</v>
      </c>
      <c r="B100" s="18"/>
      <c r="C100" s="18"/>
      <c r="D100" s="18" t="s">
        <v>655</v>
      </c>
      <c r="E100" s="18" t="s">
        <v>656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657</v>
      </c>
      <c r="E101" s="9" t="s">
        <v>658</v>
      </c>
      <c r="F101" s="9" t="s">
        <v>11</v>
      </c>
      <c r="G101" s="9" t="s">
        <v>28</v>
      </c>
      <c r="H101" s="9" t="s">
        <v>488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659</v>
      </c>
      <c r="E102" s="14" t="s">
        <v>660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661</v>
      </c>
      <c r="E103" s="9" t="s">
        <v>662</v>
      </c>
      <c r="F103" s="9" t="s">
        <v>11</v>
      </c>
      <c r="G103" s="9" t="s">
        <v>36</v>
      </c>
      <c r="H103" s="9" t="s">
        <v>488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663</v>
      </c>
      <c r="E104" s="14" t="s">
        <v>664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822</v>
      </c>
    </row>
    <row r="105" spans="1:32" ht="38.25" x14ac:dyDescent="0.2">
      <c r="A105" s="6">
        <v>410</v>
      </c>
      <c r="B105" s="18"/>
      <c r="C105" s="18"/>
      <c r="D105" s="18" t="s">
        <v>665</v>
      </c>
      <c r="E105" s="18" t="s">
        <v>666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667</v>
      </c>
      <c r="E106" s="9" t="s">
        <v>666</v>
      </c>
      <c r="F106" s="9" t="s">
        <v>11</v>
      </c>
      <c r="G106" s="9" t="s">
        <v>36</v>
      </c>
      <c r="H106" s="9" t="s">
        <v>488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668</v>
      </c>
      <c r="E107" s="8" t="s">
        <v>669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670</v>
      </c>
      <c r="E108" s="25" t="s">
        <v>671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826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670</v>
      </c>
      <c r="E109" s="18" t="s">
        <v>671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672</v>
      </c>
      <c r="E110" s="18" t="s">
        <v>673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674</v>
      </c>
      <c r="E111" s="9" t="s">
        <v>675</v>
      </c>
      <c r="F111" s="9" t="s">
        <v>11</v>
      </c>
      <c r="G111" s="9"/>
      <c r="H111" s="9" t="s">
        <v>488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676</v>
      </c>
      <c r="E112" s="18" t="s">
        <v>677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678</v>
      </c>
      <c r="E113" s="9" t="s">
        <v>679</v>
      </c>
      <c r="F113" s="9" t="s">
        <v>11</v>
      </c>
      <c r="G113" s="9" t="s">
        <v>36</v>
      </c>
      <c r="H113" s="9" t="s">
        <v>488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680</v>
      </c>
      <c r="E114" s="8" t="s">
        <v>679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681</v>
      </c>
      <c r="E115" s="25" t="s">
        <v>682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826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681</v>
      </c>
      <c r="E116" s="18" t="s">
        <v>682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683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684</v>
      </c>
      <c r="E118" s="25" t="s">
        <v>685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684</v>
      </c>
      <c r="E119" s="18" t="s">
        <v>685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686</v>
      </c>
      <c r="E120" s="25" t="s">
        <v>687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686</v>
      </c>
      <c r="E121" s="18" t="s">
        <v>687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688</v>
      </c>
      <c r="E122" s="18" t="s">
        <v>689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690</v>
      </c>
      <c r="E123" s="18" t="s">
        <v>691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692</v>
      </c>
      <c r="E124" s="18" t="s">
        <v>693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694</v>
      </c>
      <c r="E125" s="25" t="s">
        <v>695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694</v>
      </c>
      <c r="E126" s="18" t="s">
        <v>695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696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697</v>
      </c>
      <c r="E128" s="25" t="s">
        <v>698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697</v>
      </c>
      <c r="E129" s="18" t="s">
        <v>698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699</v>
      </c>
      <c r="E130" s="18" t="s">
        <v>700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701</v>
      </c>
      <c r="E131" s="9" t="s">
        <v>702</v>
      </c>
      <c r="F131" s="9" t="s">
        <v>11</v>
      </c>
      <c r="G131" s="9"/>
      <c r="H131" s="9" t="s">
        <v>703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704</v>
      </c>
      <c r="E132" s="8" t="s">
        <v>705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706</v>
      </c>
      <c r="E133" s="18" t="s">
        <v>707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708</v>
      </c>
      <c r="E134" s="18" t="s">
        <v>709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710</v>
      </c>
      <c r="E135" s="18" t="s">
        <v>711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712</v>
      </c>
      <c r="E136" s="25" t="s">
        <v>713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712</v>
      </c>
      <c r="E137" s="18" t="s">
        <v>713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714</v>
      </c>
      <c r="E138" s="18" t="s">
        <v>715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716</v>
      </c>
      <c r="E139" s="9" t="s">
        <v>717</v>
      </c>
      <c r="F139" s="9" t="s">
        <v>11</v>
      </c>
      <c r="G139" s="9"/>
      <c r="H139" s="9" t="s">
        <v>718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719</v>
      </c>
      <c r="E140" s="8" t="s">
        <v>720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721</v>
      </c>
      <c r="E141" s="25" t="s">
        <v>722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721</v>
      </c>
      <c r="E142" s="18" t="s">
        <v>722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723</v>
      </c>
      <c r="E143" s="18" t="s">
        <v>724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725</v>
      </c>
      <c r="E144" s="9" t="s">
        <v>726</v>
      </c>
      <c r="F144" s="9" t="s">
        <v>11</v>
      </c>
      <c r="G144" s="9"/>
      <c r="H144" s="9" t="s">
        <v>703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727</v>
      </c>
      <c r="E145" s="8" t="s">
        <v>728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729</v>
      </c>
      <c r="E146" s="9" t="s">
        <v>730</v>
      </c>
      <c r="F146" s="9" t="s">
        <v>11</v>
      </c>
      <c r="G146" s="9"/>
      <c r="H146" s="9" t="s">
        <v>703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731</v>
      </c>
      <c r="E147" s="8" t="s">
        <v>732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733</v>
      </c>
      <c r="E148" s="18" t="s">
        <v>734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735</v>
      </c>
      <c r="E149" s="9" t="s">
        <v>736</v>
      </c>
      <c r="F149" s="9" t="s">
        <v>11</v>
      </c>
      <c r="G149" s="9"/>
      <c r="H149" s="9" t="s">
        <v>718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737</v>
      </c>
      <c r="E150" s="22" t="s">
        <v>738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739</v>
      </c>
      <c r="E151" s="18" t="s">
        <v>740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741</v>
      </c>
      <c r="E152" s="9" t="s">
        <v>742</v>
      </c>
      <c r="F152" s="9" t="s">
        <v>11</v>
      </c>
      <c r="G152" s="9"/>
      <c r="H152" s="9" t="s">
        <v>703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743</v>
      </c>
      <c r="E153" s="18" t="s">
        <v>744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745</v>
      </c>
      <c r="E154" s="9" t="s">
        <v>746</v>
      </c>
      <c r="F154" s="9" t="s">
        <v>11</v>
      </c>
      <c r="G154" s="9"/>
      <c r="H154" s="9" t="s">
        <v>703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747</v>
      </c>
      <c r="E155" s="8" t="s">
        <v>748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749</v>
      </c>
      <c r="E156" s="18" t="s">
        <v>750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751</v>
      </c>
      <c r="E157" s="18" t="s">
        <v>752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753</v>
      </c>
      <c r="E158" s="25" t="s">
        <v>754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753</v>
      </c>
      <c r="E159" s="18" t="s">
        <v>754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755</v>
      </c>
      <c r="E160" s="18" t="s">
        <v>756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757</v>
      </c>
      <c r="E161" s="9" t="s">
        <v>758</v>
      </c>
      <c r="F161" s="9" t="s">
        <v>11</v>
      </c>
      <c r="G161" s="9"/>
      <c r="H161" s="9" t="s">
        <v>703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759</v>
      </c>
      <c r="E162" s="22" t="s">
        <v>760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761</v>
      </c>
      <c r="E163" s="9" t="s">
        <v>762</v>
      </c>
      <c r="F163" s="9" t="s">
        <v>11</v>
      </c>
      <c r="G163" s="9"/>
      <c r="H163" s="9" t="s">
        <v>703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763</v>
      </c>
      <c r="E164" s="18" t="s">
        <v>764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765</v>
      </c>
      <c r="E165" s="9" t="s">
        <v>766</v>
      </c>
      <c r="F165" s="9" t="s">
        <v>11</v>
      </c>
      <c r="G165" s="9"/>
      <c r="H165" s="9" t="s">
        <v>718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767</v>
      </c>
      <c r="E166" s="22" t="s">
        <v>768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769</v>
      </c>
      <c r="E167" s="25" t="s">
        <v>770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769</v>
      </c>
      <c r="E168" s="18" t="s">
        <v>770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771</v>
      </c>
      <c r="E169" s="18" t="s">
        <v>772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773</v>
      </c>
      <c r="E170" s="9" t="s">
        <v>774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775</v>
      </c>
      <c r="E171" s="18" t="s">
        <v>776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777</v>
      </c>
      <c r="E172" s="9" t="s">
        <v>778</v>
      </c>
      <c r="F172" s="9" t="s">
        <v>11</v>
      </c>
      <c r="G172" s="9"/>
      <c r="H172" s="9" t="s">
        <v>703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779</v>
      </c>
      <c r="E173" s="18" t="s">
        <v>780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781</v>
      </c>
      <c r="E174" s="18" t="s">
        <v>782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833</v>
      </c>
      <c r="D3" s="78" t="s">
        <v>834</v>
      </c>
      <c r="E3" t="s">
        <v>835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90"/>
  <sheetViews>
    <sheetView tabSelected="1" zoomScale="80" zoomScaleNormal="80" workbookViewId="0">
      <pane xSplit="6" ySplit="9" topLeftCell="G77" activePane="bottomRight" state="frozen"/>
      <selection pane="topRight" activeCell="G1" sqref="G1"/>
      <selection pane="bottomLeft" activeCell="A10" sqref="A10"/>
      <selection pane="bottomRight" activeCell="I11" sqref="I11"/>
    </sheetView>
  </sheetViews>
  <sheetFormatPr defaultRowHeight="12.75" x14ac:dyDescent="0.2"/>
  <cols>
    <col min="1" max="1" width="8.85546875" customWidth="1"/>
    <col min="2" max="2" width="13" customWidth="1"/>
    <col min="3" max="3" width="26.42578125" customWidth="1"/>
    <col min="4" max="4" width="9.85546875" customWidth="1"/>
    <col min="5" max="5" width="8.5703125" bestFit="1" customWidth="1"/>
    <col min="6" max="6" width="8.28515625" bestFit="1" customWidth="1"/>
    <col min="7" max="7" width="17.7109375" bestFit="1" customWidth="1"/>
    <col min="8" max="8" width="16" bestFit="1" customWidth="1"/>
    <col min="9" max="9" width="16.28515625" bestFit="1" customWidth="1"/>
    <col min="10" max="10" width="5" hidden="1" customWidth="1"/>
    <col min="11" max="11" width="12.42578125" bestFit="1" customWidth="1"/>
    <col min="12" max="13" width="13.5703125" bestFit="1" customWidth="1"/>
    <col min="14" max="14" width="12.42578125" bestFit="1" customWidth="1"/>
    <col min="15" max="15" width="13.5703125" bestFit="1" customWidth="1"/>
    <col min="16" max="16" width="14.5703125" customWidth="1"/>
    <col min="17" max="17" width="9.140625" hidden="1" customWidth="1"/>
    <col min="18" max="18" width="10.140625" hidden="1" customWidth="1"/>
    <col min="19" max="19" width="11.7109375" style="80" hidden="1" customWidth="1"/>
    <col min="20" max="20" width="9.140625" hidden="1" customWidth="1"/>
    <col min="21" max="21" width="10.140625" hidden="1" customWidth="1"/>
    <col min="22" max="25" width="9.140625" customWidth="1"/>
    <col min="26" max="26" width="12.7109375" bestFit="1" customWidth="1"/>
    <col min="28" max="28" width="11.7109375" bestFit="1" customWidth="1"/>
  </cols>
  <sheetData>
    <row r="1" spans="1:18" ht="15.75" x14ac:dyDescent="0.25">
      <c r="A1" s="134" t="s">
        <v>1026</v>
      </c>
      <c r="B1" s="135"/>
      <c r="C1" s="135"/>
      <c r="D1" s="110"/>
      <c r="E1" s="110"/>
      <c r="F1" s="110"/>
      <c r="G1" s="110"/>
      <c r="H1" s="110"/>
      <c r="I1" s="110"/>
      <c r="J1" s="110"/>
      <c r="K1" s="115"/>
      <c r="L1" s="115"/>
      <c r="M1" s="115"/>
      <c r="N1" s="115"/>
      <c r="O1" s="115"/>
      <c r="P1" s="115"/>
    </row>
    <row r="2" spans="1:18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6"/>
      <c r="L2" s="116"/>
      <c r="M2" s="116"/>
      <c r="N2" s="116"/>
      <c r="O2" s="116"/>
      <c r="P2" s="116"/>
    </row>
    <row r="3" spans="1:18" ht="24" x14ac:dyDescent="0.2">
      <c r="A3" s="84" t="s">
        <v>841</v>
      </c>
      <c r="B3" s="84" t="s">
        <v>785</v>
      </c>
      <c r="C3" s="107" t="s">
        <v>845</v>
      </c>
      <c r="D3" s="108" t="s">
        <v>787</v>
      </c>
      <c r="E3" s="108" t="s">
        <v>844</v>
      </c>
      <c r="F3" s="108" t="s">
        <v>790</v>
      </c>
      <c r="G3" s="108" t="s">
        <v>792</v>
      </c>
      <c r="H3" s="108" t="s">
        <v>840</v>
      </c>
      <c r="I3" s="108" t="s">
        <v>794</v>
      </c>
      <c r="J3" s="121">
        <v>2022</v>
      </c>
      <c r="K3" s="117">
        <v>2023</v>
      </c>
      <c r="L3" s="117">
        <v>2024</v>
      </c>
      <c r="M3" s="117">
        <v>2025</v>
      </c>
      <c r="N3" s="117">
        <v>2026</v>
      </c>
      <c r="O3" s="117">
        <v>2027</v>
      </c>
      <c r="P3" s="117" t="s">
        <v>983</v>
      </c>
    </row>
    <row r="4" spans="1:18" ht="40.5" customHeight="1" x14ac:dyDescent="0.2">
      <c r="A4" s="125"/>
      <c r="B4" s="131" t="s">
        <v>842</v>
      </c>
      <c r="C4" s="132"/>
      <c r="D4" s="131"/>
      <c r="E4" s="131"/>
      <c r="F4" s="131"/>
      <c r="G4" s="133">
        <f t="shared" ref="G4:O4" si="0">+G5+G33+G61+G87+G80</f>
        <v>56274706.609999999</v>
      </c>
      <c r="H4" s="133">
        <f t="shared" si="0"/>
        <v>44864581.009999998</v>
      </c>
      <c r="I4" s="133">
        <f t="shared" si="0"/>
        <v>11410125.6</v>
      </c>
      <c r="J4" s="133">
        <f t="shared" si="0"/>
        <v>0</v>
      </c>
      <c r="K4" s="133">
        <f t="shared" si="0"/>
        <v>1921538.16</v>
      </c>
      <c r="L4" s="133">
        <f t="shared" si="0"/>
        <v>7915506.5099999998</v>
      </c>
      <c r="M4" s="133">
        <f t="shared" si="0"/>
        <v>14305585.826599998</v>
      </c>
      <c r="N4" s="133">
        <f t="shared" si="0"/>
        <v>13642231.6766</v>
      </c>
      <c r="O4" s="133">
        <f t="shared" si="0"/>
        <v>18489844.429899998</v>
      </c>
      <c r="P4" s="133"/>
      <c r="R4" s="80"/>
    </row>
    <row r="5" spans="1:18" ht="24" x14ac:dyDescent="0.2">
      <c r="A5" s="88"/>
      <c r="B5" s="88" t="s">
        <v>910</v>
      </c>
      <c r="C5" s="93" t="s">
        <v>846</v>
      </c>
      <c r="D5" s="88" t="s">
        <v>2</v>
      </c>
      <c r="E5" s="88"/>
      <c r="F5" s="88"/>
      <c r="G5" s="89">
        <f t="shared" ref="G5:O5" si="1">+G6+G24+G29</f>
        <v>20298297.669999998</v>
      </c>
      <c r="H5" s="89">
        <f t="shared" si="1"/>
        <v>16901223.210000001</v>
      </c>
      <c r="I5" s="89">
        <f t="shared" si="1"/>
        <v>3397074.46</v>
      </c>
      <c r="J5" s="89">
        <f t="shared" si="1"/>
        <v>0</v>
      </c>
      <c r="K5" s="89">
        <f t="shared" si="1"/>
        <v>516373.95999999996</v>
      </c>
      <c r="L5" s="89">
        <f t="shared" si="1"/>
        <v>2521341.6399999997</v>
      </c>
      <c r="M5" s="89">
        <f t="shared" si="1"/>
        <v>5006685.4432999995</v>
      </c>
      <c r="N5" s="89">
        <f t="shared" si="1"/>
        <v>5418397.2333000004</v>
      </c>
      <c r="O5" s="89">
        <f t="shared" si="1"/>
        <v>6835499.3966000006</v>
      </c>
      <c r="P5" s="89"/>
    </row>
    <row r="6" spans="1:18" ht="24" x14ac:dyDescent="0.2">
      <c r="A6" s="122"/>
      <c r="B6" s="122" t="s">
        <v>911</v>
      </c>
      <c r="C6" s="123" t="s">
        <v>859</v>
      </c>
      <c r="D6" s="122" t="s">
        <v>847</v>
      </c>
      <c r="E6" s="122"/>
      <c r="F6" s="122"/>
      <c r="G6" s="124">
        <f t="shared" ref="G6:O6" si="2">+G7+G16+G19+G21</f>
        <v>10134964.329999998</v>
      </c>
      <c r="H6" s="124">
        <f t="shared" si="2"/>
        <v>7601223.21</v>
      </c>
      <c r="I6" s="124">
        <f t="shared" si="2"/>
        <v>2533741.12</v>
      </c>
      <c r="J6" s="124">
        <f t="shared" si="2"/>
        <v>0</v>
      </c>
      <c r="K6" s="124">
        <f t="shared" si="2"/>
        <v>508966.93999999994</v>
      </c>
      <c r="L6" s="124">
        <f t="shared" si="2"/>
        <v>1253141.1299999999</v>
      </c>
      <c r="M6" s="124">
        <f t="shared" si="2"/>
        <v>2135135.4432999999</v>
      </c>
      <c r="N6" s="124">
        <f t="shared" si="2"/>
        <v>2565397.2333</v>
      </c>
      <c r="O6" s="124">
        <f t="shared" si="2"/>
        <v>3672323.5866000005</v>
      </c>
      <c r="P6" s="124"/>
    </row>
    <row r="7" spans="1:18" x14ac:dyDescent="0.2">
      <c r="A7" s="81"/>
      <c r="B7" s="81" t="s">
        <v>912</v>
      </c>
      <c r="C7" s="94" t="s">
        <v>848</v>
      </c>
      <c r="D7" s="81" t="s">
        <v>8</v>
      </c>
      <c r="E7" s="81"/>
      <c r="F7" s="81"/>
      <c r="G7" s="85">
        <f>SUM(G8:G15)</f>
        <v>5678709.0499999989</v>
      </c>
      <c r="H7" s="85">
        <f t="shared" ref="H7:O7" si="3">SUM(H8:H15)</f>
        <v>4259031.76</v>
      </c>
      <c r="I7" s="85">
        <f t="shared" si="3"/>
        <v>1419677.2900000003</v>
      </c>
      <c r="J7" s="85">
        <f t="shared" si="3"/>
        <v>0</v>
      </c>
      <c r="K7" s="85">
        <f t="shared" si="3"/>
        <v>293687.55</v>
      </c>
      <c r="L7" s="85">
        <f t="shared" si="3"/>
        <v>751913.72</v>
      </c>
      <c r="M7" s="85">
        <f t="shared" si="3"/>
        <v>1195335.4432999999</v>
      </c>
      <c r="N7" s="85">
        <f t="shared" si="3"/>
        <v>1636435.4432999999</v>
      </c>
      <c r="O7" s="85">
        <f t="shared" si="3"/>
        <v>1801336.8933000003</v>
      </c>
      <c r="P7" s="85"/>
    </row>
    <row r="8" spans="1:18" ht="72" x14ac:dyDescent="0.2">
      <c r="A8" s="100">
        <v>1</v>
      </c>
      <c r="B8" s="100" t="s">
        <v>913</v>
      </c>
      <c r="C8" s="102" t="s">
        <v>849</v>
      </c>
      <c r="D8" s="100" t="s">
        <v>11</v>
      </c>
      <c r="E8" s="100" t="s">
        <v>908</v>
      </c>
      <c r="F8" s="100" t="s">
        <v>839</v>
      </c>
      <c r="G8" s="101">
        <f>+H8+I8</f>
        <v>970266.67</v>
      </c>
      <c r="H8" s="101">
        <f>742700-7500-7500</f>
        <v>727700</v>
      </c>
      <c r="I8" s="101">
        <f>ROUNDUP(H8/3,2)</f>
        <v>242566.67</v>
      </c>
      <c r="J8" s="101"/>
      <c r="K8" s="101">
        <v>0</v>
      </c>
      <c r="L8" s="101">
        <v>0</v>
      </c>
      <c r="M8" s="101">
        <v>0</v>
      </c>
      <c r="N8" s="101">
        <v>486000</v>
      </c>
      <c r="O8" s="101">
        <v>484266.67</v>
      </c>
      <c r="P8" s="101" t="s">
        <v>996</v>
      </c>
    </row>
    <row r="9" spans="1:18" ht="36" x14ac:dyDescent="0.2">
      <c r="A9" s="100">
        <v>2</v>
      </c>
      <c r="B9" s="100" t="s">
        <v>914</v>
      </c>
      <c r="C9" s="102" t="s">
        <v>850</v>
      </c>
      <c r="D9" s="100" t="s">
        <v>11</v>
      </c>
      <c r="E9" s="100" t="s">
        <v>908</v>
      </c>
      <c r="F9" s="100" t="s">
        <v>839</v>
      </c>
      <c r="G9" s="101">
        <f>+H9+I9</f>
        <v>37333.339999999997</v>
      </c>
      <c r="H9" s="101">
        <v>28000</v>
      </c>
      <c r="I9" s="101">
        <f>ROUNDUP(H9/3,2)</f>
        <v>9333.34</v>
      </c>
      <c r="J9" s="101"/>
      <c r="K9" s="101">
        <v>0</v>
      </c>
      <c r="L9" s="101">
        <v>0</v>
      </c>
      <c r="M9" s="101">
        <v>22350</v>
      </c>
      <c r="N9" s="101">
        <v>7450</v>
      </c>
      <c r="O9" s="101">
        <v>7533.3399999999965</v>
      </c>
      <c r="P9" s="101" t="s">
        <v>986</v>
      </c>
    </row>
    <row r="10" spans="1:18" ht="72" x14ac:dyDescent="0.2">
      <c r="A10" s="118">
        <v>3</v>
      </c>
      <c r="B10" s="100" t="s">
        <v>915</v>
      </c>
      <c r="C10" s="145" t="s">
        <v>838</v>
      </c>
      <c r="D10" s="100" t="s">
        <v>11</v>
      </c>
      <c r="E10" s="100" t="s">
        <v>836</v>
      </c>
      <c r="F10" s="100" t="s">
        <v>839</v>
      </c>
      <c r="G10" s="112">
        <f t="shared" ref="G10:G15" si="4">+H10+I10</f>
        <v>3179819.96</v>
      </c>
      <c r="H10" s="101">
        <v>2384864.9700000002</v>
      </c>
      <c r="I10" s="101">
        <f t="shared" ref="I10:I23" si="5">ROUNDUP(H10/3,2)</f>
        <v>794954.99</v>
      </c>
      <c r="J10" s="101"/>
      <c r="K10" s="101">
        <v>293687.55</v>
      </c>
      <c r="L10" s="101">
        <v>707080.97</v>
      </c>
      <c r="M10" s="101">
        <v>720000</v>
      </c>
      <c r="N10" s="101">
        <v>720000</v>
      </c>
      <c r="O10" s="101">
        <f>463711.01+313153.3-40000+2073.06+114.07</f>
        <v>739051.44000000006</v>
      </c>
      <c r="P10" s="141" t="s">
        <v>1008</v>
      </c>
    </row>
    <row r="11" spans="1:18" ht="36" x14ac:dyDescent="0.2">
      <c r="A11" s="118">
        <v>4</v>
      </c>
      <c r="B11" s="100" t="s">
        <v>916</v>
      </c>
      <c r="C11" s="145" t="s">
        <v>851</v>
      </c>
      <c r="D11" s="100" t="s">
        <v>11</v>
      </c>
      <c r="E11" s="100" t="s">
        <v>836</v>
      </c>
      <c r="F11" s="100" t="s">
        <v>837</v>
      </c>
      <c r="G11" s="112">
        <f t="shared" si="4"/>
        <v>653333.34</v>
      </c>
      <c r="H11" s="101">
        <v>490000</v>
      </c>
      <c r="I11" s="101">
        <f t="shared" si="5"/>
        <v>163333.34</v>
      </c>
      <c r="J11" s="101"/>
      <c r="K11" s="101">
        <v>0</v>
      </c>
      <c r="L11" s="101">
        <v>0</v>
      </c>
      <c r="M11" s="101">
        <f>210000</f>
        <v>210000</v>
      </c>
      <c r="N11" s="101">
        <f>210000</f>
        <v>210000</v>
      </c>
      <c r="O11" s="101">
        <f>235000-1666.66</f>
        <v>233333.34</v>
      </c>
      <c r="P11" s="141" t="s">
        <v>986</v>
      </c>
    </row>
    <row r="12" spans="1:18" ht="36" x14ac:dyDescent="0.2">
      <c r="A12" s="118">
        <v>5</v>
      </c>
      <c r="B12" s="100" t="s">
        <v>917</v>
      </c>
      <c r="C12" s="145" t="s">
        <v>852</v>
      </c>
      <c r="D12" s="100" t="s">
        <v>11</v>
      </c>
      <c r="E12" s="100" t="s">
        <v>836</v>
      </c>
      <c r="F12" s="100" t="s">
        <v>837</v>
      </c>
      <c r="G12" s="112">
        <f t="shared" si="4"/>
        <v>653333.34</v>
      </c>
      <c r="H12" s="101">
        <v>490000</v>
      </c>
      <c r="I12" s="101">
        <f t="shared" si="5"/>
        <v>163333.34</v>
      </c>
      <c r="J12" s="101"/>
      <c r="K12" s="101">
        <v>0</v>
      </c>
      <c r="L12" s="101">
        <v>40210.35</v>
      </c>
      <c r="M12" s="101">
        <f>133333.34+62152.1033</f>
        <v>195485.44329999998</v>
      </c>
      <c r="N12" s="101">
        <f>93333.34+62152.1033</f>
        <v>155485.44329999998</v>
      </c>
      <c r="O12" s="101">
        <f>200000+62152.1033</f>
        <v>262152.10330000002</v>
      </c>
      <c r="P12" s="141" t="s">
        <v>986</v>
      </c>
    </row>
    <row r="13" spans="1:18" ht="96" x14ac:dyDescent="0.2">
      <c r="A13" s="118">
        <v>6</v>
      </c>
      <c r="B13" s="100" t="s">
        <v>918</v>
      </c>
      <c r="C13" s="145" t="s">
        <v>903</v>
      </c>
      <c r="D13" s="100" t="s">
        <v>11</v>
      </c>
      <c r="E13" s="100" t="s">
        <v>836</v>
      </c>
      <c r="F13" s="100" t="s">
        <v>839</v>
      </c>
      <c r="G13" s="112">
        <f t="shared" si="4"/>
        <v>151289.06</v>
      </c>
      <c r="H13" s="101">
        <v>113466.79</v>
      </c>
      <c r="I13" s="101">
        <f t="shared" si="5"/>
        <v>37822.270000000004</v>
      </c>
      <c r="J13" s="101"/>
      <c r="K13" s="101">
        <v>0</v>
      </c>
      <c r="L13" s="101">
        <v>4622.3999999999996</v>
      </c>
      <c r="M13" s="101">
        <f>40000</f>
        <v>40000</v>
      </c>
      <c r="N13" s="101">
        <f>50000</f>
        <v>50000</v>
      </c>
      <c r="O13" s="101">
        <f>56666.66</f>
        <v>56666.66</v>
      </c>
      <c r="P13" s="141" t="s">
        <v>1009</v>
      </c>
    </row>
    <row r="14" spans="1:18" ht="60" x14ac:dyDescent="0.2">
      <c r="A14" s="100">
        <v>7</v>
      </c>
      <c r="B14" s="100" t="s">
        <v>919</v>
      </c>
      <c r="C14" s="102" t="s">
        <v>906</v>
      </c>
      <c r="D14" s="100" t="s">
        <v>11</v>
      </c>
      <c r="E14" s="100" t="s">
        <v>908</v>
      </c>
      <c r="F14" s="100" t="s">
        <v>839</v>
      </c>
      <c r="G14" s="101">
        <f t="shared" si="4"/>
        <v>33333.339999999997</v>
      </c>
      <c r="H14" s="101">
        <v>25000</v>
      </c>
      <c r="I14" s="101">
        <f t="shared" si="5"/>
        <v>8333.34</v>
      </c>
      <c r="J14" s="101"/>
      <c r="K14" s="101">
        <v>0</v>
      </c>
      <c r="L14" s="101">
        <v>0</v>
      </c>
      <c r="M14" s="101">
        <v>7500</v>
      </c>
      <c r="N14" s="101">
        <v>7500</v>
      </c>
      <c r="O14" s="101">
        <v>18333.339999999997</v>
      </c>
      <c r="P14" s="101" t="s">
        <v>997</v>
      </c>
    </row>
    <row r="15" spans="1:18" ht="48" x14ac:dyDescent="0.2">
      <c r="A15" s="100"/>
      <c r="B15" s="100"/>
      <c r="C15" s="102" t="s">
        <v>993</v>
      </c>
      <c r="D15" s="100"/>
      <c r="E15" s="100"/>
      <c r="F15" s="100"/>
      <c r="G15" s="101">
        <f t="shared" si="4"/>
        <v>0</v>
      </c>
      <c r="H15" s="101">
        <v>0</v>
      </c>
      <c r="I15" s="101">
        <f t="shared" si="5"/>
        <v>0</v>
      </c>
      <c r="J15" s="101"/>
      <c r="K15" s="101"/>
      <c r="L15" s="101"/>
      <c r="M15" s="101"/>
      <c r="N15" s="101"/>
      <c r="O15" s="101">
        <v>0</v>
      </c>
      <c r="P15" s="101" t="s">
        <v>1018</v>
      </c>
    </row>
    <row r="16" spans="1:18" x14ac:dyDescent="0.2">
      <c r="A16" s="81"/>
      <c r="B16" s="81" t="s">
        <v>920</v>
      </c>
      <c r="C16" s="94" t="s">
        <v>853</v>
      </c>
      <c r="D16" s="81" t="s">
        <v>8</v>
      </c>
      <c r="E16" s="81"/>
      <c r="F16" s="81"/>
      <c r="G16" s="85">
        <f>+G17+G18</f>
        <v>3644706.67</v>
      </c>
      <c r="H16" s="85">
        <f t="shared" ref="H16:O16" si="6">+H17+H18</f>
        <v>2733530</v>
      </c>
      <c r="I16" s="85">
        <f t="shared" si="6"/>
        <v>911176.66999999993</v>
      </c>
      <c r="J16" s="85">
        <f t="shared" si="6"/>
        <v>0</v>
      </c>
      <c r="K16" s="85">
        <f t="shared" si="6"/>
        <v>83136.170000000013</v>
      </c>
      <c r="L16" s="85">
        <f t="shared" si="6"/>
        <v>437227.77999999997</v>
      </c>
      <c r="M16" s="85">
        <f t="shared" si="6"/>
        <v>728000</v>
      </c>
      <c r="N16" s="85">
        <f t="shared" si="6"/>
        <v>728000</v>
      </c>
      <c r="O16" s="85">
        <f t="shared" si="6"/>
        <v>1668342.7200000002</v>
      </c>
      <c r="P16" s="85"/>
    </row>
    <row r="17" spans="1:16" ht="36" x14ac:dyDescent="0.2">
      <c r="A17" s="100">
        <v>8</v>
      </c>
      <c r="B17" s="100" t="s">
        <v>921</v>
      </c>
      <c r="C17" s="102" t="s">
        <v>907</v>
      </c>
      <c r="D17" s="100" t="s">
        <v>11</v>
      </c>
      <c r="E17" s="100" t="s">
        <v>908</v>
      </c>
      <c r="F17" s="100" t="s">
        <v>839</v>
      </c>
      <c r="G17" s="101">
        <f t="shared" ref="G17:G18" si="7">+H17+I17</f>
        <v>1628806.67</v>
      </c>
      <c r="H17" s="101">
        <v>1221605</v>
      </c>
      <c r="I17" s="101">
        <f t="shared" si="5"/>
        <v>407201.67</v>
      </c>
      <c r="J17" s="101"/>
      <c r="K17" s="101">
        <v>9479.32</v>
      </c>
      <c r="L17" s="101">
        <v>164769.12</v>
      </c>
      <c r="M17" s="101">
        <v>325000</v>
      </c>
      <c r="N17" s="101">
        <v>325000</v>
      </c>
      <c r="O17" s="101">
        <v>804558.23</v>
      </c>
      <c r="P17" s="101" t="s">
        <v>986</v>
      </c>
    </row>
    <row r="18" spans="1:16" ht="36" x14ac:dyDescent="0.2">
      <c r="A18" s="100">
        <v>9</v>
      </c>
      <c r="B18" s="100" t="s">
        <v>922</v>
      </c>
      <c r="C18" s="102" t="s">
        <v>25</v>
      </c>
      <c r="D18" s="100" t="s">
        <v>11</v>
      </c>
      <c r="E18" s="100" t="s">
        <v>908</v>
      </c>
      <c r="F18" s="100" t="s">
        <v>839</v>
      </c>
      <c r="G18" s="101">
        <f t="shared" si="7"/>
        <v>2015900</v>
      </c>
      <c r="H18" s="101">
        <v>1511925</v>
      </c>
      <c r="I18" s="101">
        <f t="shared" si="5"/>
        <v>503975</v>
      </c>
      <c r="J18" s="101"/>
      <c r="K18" s="101">
        <v>73656.850000000006</v>
      </c>
      <c r="L18" s="101">
        <v>272458.65999999997</v>
      </c>
      <c r="M18" s="101">
        <v>403000</v>
      </c>
      <c r="N18" s="101">
        <v>403000</v>
      </c>
      <c r="O18" s="101">
        <v>863784.49000000011</v>
      </c>
      <c r="P18" s="101" t="s">
        <v>986</v>
      </c>
    </row>
    <row r="19" spans="1:16" x14ac:dyDescent="0.2">
      <c r="A19" s="81"/>
      <c r="B19" s="81" t="s">
        <v>923</v>
      </c>
      <c r="C19" s="94" t="s">
        <v>854</v>
      </c>
      <c r="D19" s="81" t="s">
        <v>8</v>
      </c>
      <c r="E19" s="81"/>
      <c r="F19" s="81"/>
      <c r="G19" s="85">
        <f t="shared" ref="G19:O19" si="8">SUM(G20:G20)</f>
        <v>46666.67</v>
      </c>
      <c r="H19" s="85">
        <f t="shared" si="8"/>
        <v>35000</v>
      </c>
      <c r="I19" s="85">
        <f t="shared" si="8"/>
        <v>11666.67</v>
      </c>
      <c r="J19" s="85">
        <f t="shared" si="8"/>
        <v>0</v>
      </c>
      <c r="K19" s="85">
        <f t="shared" si="8"/>
        <v>2453.94</v>
      </c>
      <c r="L19" s="85">
        <f t="shared" si="8"/>
        <v>8806.9699999999993</v>
      </c>
      <c r="M19" s="85">
        <f t="shared" si="8"/>
        <v>11800</v>
      </c>
      <c r="N19" s="85">
        <f t="shared" si="8"/>
        <v>11800</v>
      </c>
      <c r="O19" s="85">
        <f t="shared" si="8"/>
        <v>11805.763300000001</v>
      </c>
      <c r="P19" s="85"/>
    </row>
    <row r="20" spans="1:16" ht="48" x14ac:dyDescent="0.2">
      <c r="A20" s="126">
        <v>10</v>
      </c>
      <c r="B20" s="98" t="s">
        <v>924</v>
      </c>
      <c r="C20" s="146" t="s">
        <v>855</v>
      </c>
      <c r="D20" s="98" t="s">
        <v>11</v>
      </c>
      <c r="E20" s="98" t="s">
        <v>836</v>
      </c>
      <c r="F20" s="98" t="s">
        <v>839</v>
      </c>
      <c r="G20" s="112">
        <f t="shared" ref="G20" si="9">+H20+I20</f>
        <v>46666.67</v>
      </c>
      <c r="H20" s="99">
        <v>35000</v>
      </c>
      <c r="I20" s="101">
        <f t="shared" si="5"/>
        <v>11666.67</v>
      </c>
      <c r="J20" s="101"/>
      <c r="K20" s="101">
        <v>2453.94</v>
      </c>
      <c r="L20" s="101">
        <v>8806.9699999999993</v>
      </c>
      <c r="M20" s="101">
        <f>11800</f>
        <v>11800</v>
      </c>
      <c r="N20" s="99">
        <f>11800</f>
        <v>11800</v>
      </c>
      <c r="O20" s="99">
        <f>6666.66+5135.2533+3.85</f>
        <v>11805.763300000001</v>
      </c>
      <c r="P20" s="141" t="s">
        <v>986</v>
      </c>
    </row>
    <row r="21" spans="1:16" ht="36" x14ac:dyDescent="0.2">
      <c r="A21" s="82"/>
      <c r="B21" s="82" t="s">
        <v>925</v>
      </c>
      <c r="C21" s="95" t="s">
        <v>856</v>
      </c>
      <c r="D21" s="82" t="s">
        <v>8</v>
      </c>
      <c r="E21" s="82"/>
      <c r="F21" s="82"/>
      <c r="G21" s="87">
        <f t="shared" ref="G21:O21" si="10">SUM(G22:G23)</f>
        <v>764881.94</v>
      </c>
      <c r="H21" s="87">
        <f t="shared" si="10"/>
        <v>573661.44999999995</v>
      </c>
      <c r="I21" s="87">
        <f t="shared" si="10"/>
        <v>191220.49</v>
      </c>
      <c r="J21" s="87">
        <f t="shared" si="10"/>
        <v>0</v>
      </c>
      <c r="K21" s="87">
        <f t="shared" si="10"/>
        <v>129689.28</v>
      </c>
      <c r="L21" s="87">
        <f t="shared" si="10"/>
        <v>55192.66</v>
      </c>
      <c r="M21" s="87">
        <f t="shared" si="10"/>
        <v>200000</v>
      </c>
      <c r="N21" s="87">
        <f t="shared" si="10"/>
        <v>189161.79</v>
      </c>
      <c r="O21" s="87">
        <f t="shared" si="10"/>
        <v>190838.21000000002</v>
      </c>
      <c r="P21" s="87"/>
    </row>
    <row r="22" spans="1:16" ht="72" x14ac:dyDescent="0.2">
      <c r="A22" s="118">
        <v>11</v>
      </c>
      <c r="B22" s="100" t="s">
        <v>926</v>
      </c>
      <c r="C22" s="145" t="s">
        <v>902</v>
      </c>
      <c r="D22" s="100" t="s">
        <v>11</v>
      </c>
      <c r="E22" s="100" t="s">
        <v>836</v>
      </c>
      <c r="F22" s="100" t="s">
        <v>839</v>
      </c>
      <c r="G22" s="112">
        <f t="shared" ref="G22:G23" si="11">+H22+I22</f>
        <v>364881.94</v>
      </c>
      <c r="H22" s="101">
        <v>273661.45</v>
      </c>
      <c r="I22" s="101">
        <f t="shared" si="5"/>
        <v>91220.489999999991</v>
      </c>
      <c r="J22" s="101"/>
      <c r="K22" s="101">
        <v>9689.2800000000007</v>
      </c>
      <c r="L22" s="101">
        <v>55192.66</v>
      </c>
      <c r="M22" s="101">
        <f>100000</f>
        <v>100000</v>
      </c>
      <c r="N22" s="101">
        <f>100000</f>
        <v>100000</v>
      </c>
      <c r="O22" s="101">
        <f>100000</f>
        <v>100000</v>
      </c>
      <c r="P22" s="141" t="s">
        <v>1010</v>
      </c>
    </row>
    <row r="23" spans="1:16" ht="36" x14ac:dyDescent="0.2">
      <c r="A23" s="118">
        <v>12</v>
      </c>
      <c r="B23" s="100" t="s">
        <v>927</v>
      </c>
      <c r="C23" s="145" t="s">
        <v>857</v>
      </c>
      <c r="D23" s="100" t="s">
        <v>11</v>
      </c>
      <c r="E23" s="100" t="s">
        <v>836</v>
      </c>
      <c r="F23" s="100" t="s">
        <v>837</v>
      </c>
      <c r="G23" s="101">
        <f t="shared" si="11"/>
        <v>400000</v>
      </c>
      <c r="H23" s="101">
        <v>300000</v>
      </c>
      <c r="I23" s="101">
        <f t="shared" si="5"/>
        <v>100000</v>
      </c>
      <c r="J23" s="101"/>
      <c r="K23" s="101">
        <v>120000</v>
      </c>
      <c r="L23" s="101">
        <v>0</v>
      </c>
      <c r="M23" s="101">
        <f>100000</f>
        <v>100000</v>
      </c>
      <c r="N23" s="101">
        <f>80000+9161.79</f>
        <v>89161.790000000008</v>
      </c>
      <c r="O23" s="101">
        <f>90838.21</f>
        <v>90838.21</v>
      </c>
      <c r="P23" s="141" t="s">
        <v>986</v>
      </c>
    </row>
    <row r="24" spans="1:16" ht="24" x14ac:dyDescent="0.2">
      <c r="A24" s="122"/>
      <c r="B24" s="122" t="s">
        <v>928</v>
      </c>
      <c r="C24" s="123" t="s">
        <v>858</v>
      </c>
      <c r="D24" s="122" t="s">
        <v>847</v>
      </c>
      <c r="E24" s="122"/>
      <c r="F24" s="122"/>
      <c r="G24" s="124">
        <f>+G25</f>
        <v>8633333.3399999999</v>
      </c>
      <c r="H24" s="124">
        <f t="shared" ref="H24:O24" si="12">+H25</f>
        <v>7770000</v>
      </c>
      <c r="I24" s="124">
        <f t="shared" si="12"/>
        <v>863333.34000000008</v>
      </c>
      <c r="J24" s="124">
        <f t="shared" si="12"/>
        <v>0</v>
      </c>
      <c r="K24" s="124">
        <f t="shared" si="12"/>
        <v>7407.02</v>
      </c>
      <c r="L24" s="124">
        <f>+L25</f>
        <v>1268200.51</v>
      </c>
      <c r="M24" s="124">
        <f t="shared" si="12"/>
        <v>2343000</v>
      </c>
      <c r="N24" s="124">
        <f t="shared" si="12"/>
        <v>2343000</v>
      </c>
      <c r="O24" s="124">
        <f t="shared" si="12"/>
        <v>2671725.81</v>
      </c>
      <c r="P24" s="124"/>
    </row>
    <row r="25" spans="1:16" x14ac:dyDescent="0.2">
      <c r="A25" s="82"/>
      <c r="B25" s="82" t="s">
        <v>929</v>
      </c>
      <c r="C25" s="95" t="s">
        <v>860</v>
      </c>
      <c r="D25" s="82" t="s">
        <v>8</v>
      </c>
      <c r="E25" s="82"/>
      <c r="F25" s="82"/>
      <c r="G25" s="87">
        <f>+G26+G27+G28</f>
        <v>8633333.3399999999</v>
      </c>
      <c r="H25" s="87">
        <f t="shared" ref="H25:O25" si="13">+H26+H27+H28</f>
        <v>7770000</v>
      </c>
      <c r="I25" s="87">
        <f t="shared" si="13"/>
        <v>863333.34000000008</v>
      </c>
      <c r="J25" s="87">
        <f t="shared" si="13"/>
        <v>0</v>
      </c>
      <c r="K25" s="87">
        <f t="shared" si="13"/>
        <v>7407.02</v>
      </c>
      <c r="L25" s="87">
        <f t="shared" si="13"/>
        <v>1268200.51</v>
      </c>
      <c r="M25" s="87">
        <f t="shared" si="13"/>
        <v>2343000</v>
      </c>
      <c r="N25" s="87">
        <f t="shared" si="13"/>
        <v>2343000</v>
      </c>
      <c r="O25" s="87">
        <f t="shared" si="13"/>
        <v>2671725.81</v>
      </c>
      <c r="P25" s="87"/>
    </row>
    <row r="26" spans="1:16" ht="36" x14ac:dyDescent="0.2">
      <c r="A26" s="100">
        <v>13</v>
      </c>
      <c r="B26" s="100" t="s">
        <v>930</v>
      </c>
      <c r="C26" s="102" t="s">
        <v>861</v>
      </c>
      <c r="D26" s="100" t="s">
        <v>11</v>
      </c>
      <c r="E26" s="100" t="s">
        <v>908</v>
      </c>
      <c r="F26" s="100" t="s">
        <v>839</v>
      </c>
      <c r="G26" s="101">
        <f t="shared" ref="G26:G28" si="14">+H26+I26</f>
        <v>466666.67</v>
      </c>
      <c r="H26" s="101">
        <v>420000</v>
      </c>
      <c r="I26" s="101">
        <f>ROUNDUP(H26/9,2)</f>
        <v>46666.670000000006</v>
      </c>
      <c r="J26" s="101"/>
      <c r="K26" s="101">
        <v>7407.02</v>
      </c>
      <c r="L26" s="101">
        <v>42409.77</v>
      </c>
      <c r="M26" s="101">
        <v>93000</v>
      </c>
      <c r="N26" s="101">
        <v>93000</v>
      </c>
      <c r="O26" s="101">
        <v>230849.87999999995</v>
      </c>
      <c r="P26" s="101" t="s">
        <v>986</v>
      </c>
    </row>
    <row r="27" spans="1:16" ht="36" x14ac:dyDescent="0.2">
      <c r="A27" s="118">
        <v>14</v>
      </c>
      <c r="B27" s="100" t="s">
        <v>931</v>
      </c>
      <c r="C27" s="145" t="s">
        <v>862</v>
      </c>
      <c r="D27" s="100" t="s">
        <v>11</v>
      </c>
      <c r="E27" s="100" t="s">
        <v>836</v>
      </c>
      <c r="F27" s="100" t="s">
        <v>839</v>
      </c>
      <c r="G27" s="101">
        <f t="shared" si="14"/>
        <v>7000000</v>
      </c>
      <c r="H27" s="101">
        <v>6300000</v>
      </c>
      <c r="I27" s="101">
        <f t="shared" ref="I27:I28" si="15">ROUNDUP(H27/9,2)</f>
        <v>700000</v>
      </c>
      <c r="J27" s="101"/>
      <c r="K27" s="101">
        <v>0</v>
      </c>
      <c r="L27" s="101">
        <v>1127299.21</v>
      </c>
      <c r="M27" s="101">
        <f>1900000</f>
        <v>1900000</v>
      </c>
      <c r="N27" s="101">
        <f>1900000</f>
        <v>1900000</v>
      </c>
      <c r="O27" s="101">
        <f>1700000+772700.79-400000</f>
        <v>2072700.79</v>
      </c>
      <c r="P27" s="141" t="s">
        <v>986</v>
      </c>
    </row>
    <row r="28" spans="1:16" ht="36" x14ac:dyDescent="0.2">
      <c r="A28" s="118">
        <v>15</v>
      </c>
      <c r="B28" s="100" t="s">
        <v>932</v>
      </c>
      <c r="C28" s="145" t="s">
        <v>863</v>
      </c>
      <c r="D28" s="100" t="s">
        <v>11</v>
      </c>
      <c r="E28" s="100" t="s">
        <v>836</v>
      </c>
      <c r="F28" s="100" t="s">
        <v>837</v>
      </c>
      <c r="G28" s="101">
        <f t="shared" si="14"/>
        <v>1166666.67</v>
      </c>
      <c r="H28" s="101">
        <v>1050000</v>
      </c>
      <c r="I28" s="101">
        <f t="shared" si="15"/>
        <v>116666.67</v>
      </c>
      <c r="J28" s="101"/>
      <c r="K28" s="101">
        <v>0</v>
      </c>
      <c r="L28" s="101">
        <v>98491.53</v>
      </c>
      <c r="M28" s="101">
        <f>350000</f>
        <v>350000</v>
      </c>
      <c r="N28" s="101">
        <f>350000</f>
        <v>350000</v>
      </c>
      <c r="O28" s="101">
        <f>368175.14</f>
        <v>368175.14</v>
      </c>
      <c r="P28" s="141" t="s">
        <v>986</v>
      </c>
    </row>
    <row r="29" spans="1:16" ht="24" x14ac:dyDescent="0.2">
      <c r="A29" s="122"/>
      <c r="B29" s="122" t="s">
        <v>933</v>
      </c>
      <c r="C29" s="123" t="s">
        <v>864</v>
      </c>
      <c r="D29" s="122" t="s">
        <v>847</v>
      </c>
      <c r="E29" s="122"/>
      <c r="F29" s="122"/>
      <c r="G29" s="124">
        <f>+G30</f>
        <v>1530000</v>
      </c>
      <c r="H29" s="124">
        <f t="shared" ref="H29:O29" si="16">+H30</f>
        <v>1530000</v>
      </c>
      <c r="I29" s="124">
        <f t="shared" si="16"/>
        <v>0</v>
      </c>
      <c r="J29" s="124">
        <f t="shared" si="16"/>
        <v>0</v>
      </c>
      <c r="K29" s="124">
        <f t="shared" si="16"/>
        <v>0</v>
      </c>
      <c r="L29" s="124">
        <f t="shared" si="16"/>
        <v>0</v>
      </c>
      <c r="M29" s="124">
        <f t="shared" si="16"/>
        <v>528550</v>
      </c>
      <c r="N29" s="124">
        <f t="shared" si="16"/>
        <v>510000</v>
      </c>
      <c r="O29" s="124">
        <f t="shared" si="16"/>
        <v>491450</v>
      </c>
      <c r="P29" s="124"/>
    </row>
    <row r="30" spans="1:16" x14ac:dyDescent="0.2">
      <c r="A30" s="82"/>
      <c r="B30" s="82" t="s">
        <v>934</v>
      </c>
      <c r="C30" s="95" t="s">
        <v>408</v>
      </c>
      <c r="D30" s="82" t="s">
        <v>8</v>
      </c>
      <c r="E30" s="82"/>
      <c r="F30" s="82"/>
      <c r="G30" s="87">
        <f t="shared" ref="G30:O30" si="17">SUM(G31:G32)</f>
        <v>1530000</v>
      </c>
      <c r="H30" s="87">
        <f t="shared" si="17"/>
        <v>1530000</v>
      </c>
      <c r="I30" s="87">
        <f t="shared" si="17"/>
        <v>0</v>
      </c>
      <c r="J30" s="87">
        <f t="shared" si="17"/>
        <v>0</v>
      </c>
      <c r="K30" s="87">
        <f t="shared" si="17"/>
        <v>0</v>
      </c>
      <c r="L30" s="87">
        <f t="shared" si="17"/>
        <v>0</v>
      </c>
      <c r="M30" s="87">
        <f t="shared" si="17"/>
        <v>528550</v>
      </c>
      <c r="N30" s="87">
        <f t="shared" si="17"/>
        <v>510000</v>
      </c>
      <c r="O30" s="87">
        <f t="shared" si="17"/>
        <v>491450</v>
      </c>
      <c r="P30" s="87"/>
    </row>
    <row r="31" spans="1:16" ht="36" x14ac:dyDescent="0.2">
      <c r="A31" s="100">
        <v>16</v>
      </c>
      <c r="B31" s="100" t="s">
        <v>935</v>
      </c>
      <c r="C31" s="102" t="s">
        <v>1025</v>
      </c>
      <c r="D31" s="100" t="s">
        <v>11</v>
      </c>
      <c r="E31" s="100" t="s">
        <v>908</v>
      </c>
      <c r="F31" s="100" t="s">
        <v>839</v>
      </c>
      <c r="G31" s="101">
        <v>630000</v>
      </c>
      <c r="H31" s="101">
        <v>630000</v>
      </c>
      <c r="I31" s="101">
        <v>0</v>
      </c>
      <c r="J31" s="101"/>
      <c r="K31" s="101">
        <v>0</v>
      </c>
      <c r="L31" s="101">
        <v>0</v>
      </c>
      <c r="M31" s="101">
        <f>210000+18550</f>
        <v>228550</v>
      </c>
      <c r="N31" s="101">
        <v>210000</v>
      </c>
      <c r="O31" s="101">
        <f>210000-18550</f>
        <v>191450</v>
      </c>
      <c r="P31" s="101" t="s">
        <v>986</v>
      </c>
    </row>
    <row r="32" spans="1:16" ht="36" x14ac:dyDescent="0.2">
      <c r="A32" s="118">
        <v>17</v>
      </c>
      <c r="B32" s="100" t="s">
        <v>936</v>
      </c>
      <c r="C32" s="145" t="s">
        <v>904</v>
      </c>
      <c r="D32" s="103" t="s">
        <v>11</v>
      </c>
      <c r="E32" s="103" t="s">
        <v>836</v>
      </c>
      <c r="F32" s="100" t="s">
        <v>839</v>
      </c>
      <c r="G32" s="101">
        <v>900000</v>
      </c>
      <c r="H32" s="99">
        <v>900000</v>
      </c>
      <c r="I32" s="101">
        <v>0</v>
      </c>
      <c r="J32" s="101"/>
      <c r="K32" s="101">
        <v>0</v>
      </c>
      <c r="L32" s="101">
        <v>0</v>
      </c>
      <c r="M32" s="101">
        <f>300000</f>
        <v>300000</v>
      </c>
      <c r="N32" s="101">
        <f>300000</f>
        <v>300000</v>
      </c>
      <c r="O32" s="101">
        <f>300000</f>
        <v>300000</v>
      </c>
      <c r="P32" s="141" t="s">
        <v>986</v>
      </c>
    </row>
    <row r="33" spans="1:28" ht="24" x14ac:dyDescent="0.2">
      <c r="A33" s="88"/>
      <c r="B33" s="88" t="s">
        <v>937</v>
      </c>
      <c r="C33" s="93" t="s">
        <v>103</v>
      </c>
      <c r="D33" s="88" t="s">
        <v>2</v>
      </c>
      <c r="E33" s="88"/>
      <c r="F33" s="88"/>
      <c r="G33" s="89">
        <f t="shared" ref="G33:O33" si="18">+G34+G58</f>
        <v>20820675.77</v>
      </c>
      <c r="H33" s="89">
        <f t="shared" si="18"/>
        <v>15790506.800000001</v>
      </c>
      <c r="I33" s="89">
        <f t="shared" si="18"/>
        <v>5030168.9700000007</v>
      </c>
      <c r="J33" s="89">
        <f t="shared" si="18"/>
        <v>0</v>
      </c>
      <c r="K33" s="89">
        <f t="shared" si="18"/>
        <v>1310171</v>
      </c>
      <c r="L33" s="89">
        <f t="shared" si="18"/>
        <v>4626285.25</v>
      </c>
      <c r="M33" s="89">
        <f t="shared" si="18"/>
        <v>7596666.1233000001</v>
      </c>
      <c r="N33" s="89">
        <f t="shared" si="18"/>
        <v>4961600.1832999997</v>
      </c>
      <c r="O33" s="89">
        <f t="shared" si="18"/>
        <v>2325953.2133000004</v>
      </c>
      <c r="P33" s="89"/>
    </row>
    <row r="34" spans="1:28" ht="24" x14ac:dyDescent="0.2">
      <c r="A34" s="122"/>
      <c r="B34" s="122" t="s">
        <v>938</v>
      </c>
      <c r="C34" s="123" t="s">
        <v>859</v>
      </c>
      <c r="D34" s="122" t="s">
        <v>847</v>
      </c>
      <c r="E34" s="122"/>
      <c r="F34" s="122"/>
      <c r="G34" s="124">
        <f t="shared" ref="G34:O34" si="19">+G35+G39+G45+G48+G51+G55</f>
        <v>20120675.77</v>
      </c>
      <c r="H34" s="124">
        <f t="shared" si="19"/>
        <v>15090506.800000001</v>
      </c>
      <c r="I34" s="124">
        <f t="shared" si="19"/>
        <v>5030168.9700000007</v>
      </c>
      <c r="J34" s="124">
        <f t="shared" si="19"/>
        <v>0</v>
      </c>
      <c r="K34" s="124">
        <f t="shared" si="19"/>
        <v>1310171</v>
      </c>
      <c r="L34" s="124">
        <f t="shared" si="19"/>
        <v>4626285.25</v>
      </c>
      <c r="M34" s="124">
        <f t="shared" si="19"/>
        <v>7446666.1233000001</v>
      </c>
      <c r="N34" s="124">
        <f t="shared" si="19"/>
        <v>4661600.1832999997</v>
      </c>
      <c r="O34" s="124">
        <f t="shared" si="19"/>
        <v>2075953.2133000004</v>
      </c>
      <c r="P34" s="124"/>
    </row>
    <row r="35" spans="1:28" x14ac:dyDescent="0.2">
      <c r="A35" s="81"/>
      <c r="B35" s="81" t="s">
        <v>939</v>
      </c>
      <c r="C35" s="94" t="s">
        <v>865</v>
      </c>
      <c r="D35" s="81" t="s">
        <v>8</v>
      </c>
      <c r="E35" s="81"/>
      <c r="F35" s="81"/>
      <c r="G35" s="85">
        <f>+G36+G37+G38</f>
        <v>353066.67000000004</v>
      </c>
      <c r="H35" s="85">
        <f t="shared" ref="H35:O35" si="20">+H36+H37+H38</f>
        <v>264800</v>
      </c>
      <c r="I35" s="85">
        <f t="shared" si="20"/>
        <v>88266.670000000013</v>
      </c>
      <c r="J35" s="85">
        <f t="shared" si="20"/>
        <v>0</v>
      </c>
      <c r="K35" s="85">
        <f t="shared" si="20"/>
        <v>0</v>
      </c>
      <c r="L35" s="85">
        <f t="shared" si="20"/>
        <v>3466.8</v>
      </c>
      <c r="M35" s="85">
        <f t="shared" si="20"/>
        <v>104000</v>
      </c>
      <c r="N35" s="85">
        <f t="shared" si="20"/>
        <v>104000</v>
      </c>
      <c r="O35" s="85">
        <f t="shared" si="20"/>
        <v>141599.87</v>
      </c>
      <c r="P35" s="85"/>
    </row>
    <row r="36" spans="1:28" ht="96" x14ac:dyDescent="0.2">
      <c r="A36" s="118">
        <v>18</v>
      </c>
      <c r="B36" s="118" t="s">
        <v>940</v>
      </c>
      <c r="C36" s="147" t="s">
        <v>866</v>
      </c>
      <c r="D36" s="118" t="s">
        <v>11</v>
      </c>
      <c r="E36" s="103" t="s">
        <v>836</v>
      </c>
      <c r="F36" s="118" t="s">
        <v>839</v>
      </c>
      <c r="G36" s="112">
        <f t="shared" ref="G36:G38" si="21">+H36+I36</f>
        <v>104000</v>
      </c>
      <c r="H36" s="101">
        <v>78000</v>
      </c>
      <c r="I36" s="101">
        <f t="shared" ref="I36:I57" si="22">ROUNDUP(H36/3,2)</f>
        <v>26000</v>
      </c>
      <c r="J36" s="112"/>
      <c r="K36" s="112">
        <v>0</v>
      </c>
      <c r="L36" s="112">
        <v>0</v>
      </c>
      <c r="M36" s="112">
        <f>34000</f>
        <v>34000</v>
      </c>
      <c r="N36" s="112">
        <f>34000</f>
        <v>34000</v>
      </c>
      <c r="O36" s="112">
        <f>36000</f>
        <v>36000</v>
      </c>
      <c r="P36" s="141" t="s">
        <v>1011</v>
      </c>
    </row>
    <row r="37" spans="1:28" ht="48" x14ac:dyDescent="0.2">
      <c r="A37" s="118">
        <v>19</v>
      </c>
      <c r="B37" s="118" t="s">
        <v>941</v>
      </c>
      <c r="C37" s="147" t="s">
        <v>867</v>
      </c>
      <c r="D37" s="118" t="s">
        <v>11</v>
      </c>
      <c r="E37" s="103" t="s">
        <v>836</v>
      </c>
      <c r="F37" s="118" t="s">
        <v>837</v>
      </c>
      <c r="G37" s="112">
        <f t="shared" si="21"/>
        <v>186666.67</v>
      </c>
      <c r="H37" s="101">
        <v>140000</v>
      </c>
      <c r="I37" s="101">
        <f t="shared" si="22"/>
        <v>46666.670000000006</v>
      </c>
      <c r="J37" s="112"/>
      <c r="K37" s="112">
        <v>0</v>
      </c>
      <c r="L37" s="130">
        <v>0</v>
      </c>
      <c r="M37" s="130">
        <f>50000</f>
        <v>50000</v>
      </c>
      <c r="N37" s="130">
        <f>50000</f>
        <v>50000</v>
      </c>
      <c r="O37" s="130">
        <f>86666.67</f>
        <v>86666.67</v>
      </c>
      <c r="P37" s="142" t="s">
        <v>986</v>
      </c>
    </row>
    <row r="38" spans="1:28" ht="84" x14ac:dyDescent="0.2">
      <c r="A38" s="118">
        <v>20</v>
      </c>
      <c r="B38" s="118" t="s">
        <v>942</v>
      </c>
      <c r="C38" s="147" t="s">
        <v>905</v>
      </c>
      <c r="D38" s="118" t="s">
        <v>11</v>
      </c>
      <c r="E38" s="103" t="s">
        <v>836</v>
      </c>
      <c r="F38" s="118" t="s">
        <v>839</v>
      </c>
      <c r="G38" s="112">
        <f t="shared" si="21"/>
        <v>62400</v>
      </c>
      <c r="H38" s="101">
        <v>46800</v>
      </c>
      <c r="I38" s="101">
        <f t="shared" si="22"/>
        <v>15600</v>
      </c>
      <c r="J38" s="112"/>
      <c r="K38" s="112">
        <v>0</v>
      </c>
      <c r="L38" s="112">
        <v>3466.8</v>
      </c>
      <c r="M38" s="112">
        <f>20000</f>
        <v>20000</v>
      </c>
      <c r="N38" s="112">
        <f>20000</f>
        <v>20000</v>
      </c>
      <c r="O38" s="112">
        <f>18933.2</f>
        <v>18933.2</v>
      </c>
      <c r="P38" s="141" t="s">
        <v>1012</v>
      </c>
    </row>
    <row r="39" spans="1:28" ht="60" x14ac:dyDescent="0.2">
      <c r="A39" s="81"/>
      <c r="B39" s="81" t="s">
        <v>943</v>
      </c>
      <c r="C39" s="94" t="s">
        <v>868</v>
      </c>
      <c r="D39" s="81" t="s">
        <v>8</v>
      </c>
      <c r="E39" s="81"/>
      <c r="F39" s="81"/>
      <c r="G39" s="85">
        <f t="shared" ref="G39:O39" si="23">SUM(G40:G44)</f>
        <v>1985000.02</v>
      </c>
      <c r="H39" s="85">
        <f t="shared" si="23"/>
        <v>1488750</v>
      </c>
      <c r="I39" s="85">
        <f t="shared" si="23"/>
        <v>496250.02</v>
      </c>
      <c r="J39" s="85">
        <f t="shared" si="23"/>
        <v>0</v>
      </c>
      <c r="K39" s="85">
        <f t="shared" si="23"/>
        <v>0</v>
      </c>
      <c r="L39" s="85">
        <f t="shared" si="23"/>
        <v>0</v>
      </c>
      <c r="M39" s="85">
        <f t="shared" si="23"/>
        <v>661666.11329999997</v>
      </c>
      <c r="N39" s="85">
        <f t="shared" si="23"/>
        <v>661666.95330000005</v>
      </c>
      <c r="O39" s="85">
        <f t="shared" si="23"/>
        <v>661666.95330000005</v>
      </c>
      <c r="P39" s="85"/>
    </row>
    <row r="40" spans="1:28" ht="36" x14ac:dyDescent="0.2">
      <c r="A40" s="126">
        <v>21</v>
      </c>
      <c r="B40" s="126" t="s">
        <v>944</v>
      </c>
      <c r="C40" s="148" t="s">
        <v>869</v>
      </c>
      <c r="D40" s="126" t="s">
        <v>11</v>
      </c>
      <c r="E40" s="103" t="s">
        <v>836</v>
      </c>
      <c r="F40" s="126" t="s">
        <v>837</v>
      </c>
      <c r="G40" s="101">
        <f t="shared" ref="G40:G44" si="24">+H40+I40</f>
        <v>729333.34</v>
      </c>
      <c r="H40" s="99">
        <v>547000</v>
      </c>
      <c r="I40" s="99">
        <f t="shared" si="22"/>
        <v>182333.34</v>
      </c>
      <c r="J40" s="113"/>
      <c r="K40" s="113">
        <v>0</v>
      </c>
      <c r="L40" s="113">
        <v>0</v>
      </c>
      <c r="M40" s="113">
        <f>243111</f>
        <v>243111</v>
      </c>
      <c r="N40" s="112">
        <f>243111.17</f>
        <v>243111.17</v>
      </c>
      <c r="O40" s="112">
        <f>243111.17</f>
        <v>243111.17</v>
      </c>
      <c r="P40" s="141" t="s">
        <v>986</v>
      </c>
    </row>
    <row r="41" spans="1:28" ht="36" x14ac:dyDescent="0.2">
      <c r="A41" s="126">
        <v>22</v>
      </c>
      <c r="B41" s="98" t="s">
        <v>945</v>
      </c>
      <c r="C41" s="148" t="s">
        <v>870</v>
      </c>
      <c r="D41" s="126" t="s">
        <v>11</v>
      </c>
      <c r="E41" s="103" t="s">
        <v>836</v>
      </c>
      <c r="F41" s="126" t="s">
        <v>839</v>
      </c>
      <c r="G41" s="101">
        <f t="shared" si="24"/>
        <v>729333.34</v>
      </c>
      <c r="H41" s="99">
        <v>547000</v>
      </c>
      <c r="I41" s="99">
        <f t="shared" si="22"/>
        <v>182333.34</v>
      </c>
      <c r="J41" s="113"/>
      <c r="K41" s="140">
        <v>0</v>
      </c>
      <c r="L41" s="112">
        <v>0</v>
      </c>
      <c r="M41" s="112">
        <f>243111</f>
        <v>243111</v>
      </c>
      <c r="N41" s="112">
        <f>243111.17</f>
        <v>243111.17</v>
      </c>
      <c r="O41" s="112">
        <f>243111.17</f>
        <v>243111.17</v>
      </c>
      <c r="P41" s="143" t="s">
        <v>986</v>
      </c>
    </row>
    <row r="42" spans="1:28" ht="60" x14ac:dyDescent="0.2">
      <c r="A42" s="118">
        <v>23</v>
      </c>
      <c r="B42" s="98" t="s">
        <v>946</v>
      </c>
      <c r="C42" s="145" t="s">
        <v>871</v>
      </c>
      <c r="D42" s="103" t="s">
        <v>11</v>
      </c>
      <c r="E42" s="103" t="s">
        <v>836</v>
      </c>
      <c r="F42" s="98" t="s">
        <v>837</v>
      </c>
      <c r="G42" s="101">
        <f t="shared" si="24"/>
        <v>333333.33999999997</v>
      </c>
      <c r="H42" s="99">
        <v>250000</v>
      </c>
      <c r="I42" s="99">
        <f t="shared" si="22"/>
        <v>83333.34</v>
      </c>
      <c r="J42" s="101"/>
      <c r="K42" s="101">
        <v>0</v>
      </c>
      <c r="L42" s="101">
        <v>0</v>
      </c>
      <c r="M42" s="101">
        <f>78333.34+32777.7733</f>
        <v>111111.1133</v>
      </c>
      <c r="N42" s="101">
        <f>78333.34+32777.7733</f>
        <v>111111.1133</v>
      </c>
      <c r="O42" s="101">
        <f>78333.34+32777.7733</f>
        <v>111111.1133</v>
      </c>
      <c r="P42" s="141" t="s">
        <v>986</v>
      </c>
    </row>
    <row r="43" spans="1:28" ht="72" x14ac:dyDescent="0.2">
      <c r="A43" s="118">
        <v>24</v>
      </c>
      <c r="B43" s="126" t="s">
        <v>947</v>
      </c>
      <c r="C43" s="147" t="s">
        <v>874</v>
      </c>
      <c r="D43" s="127" t="s">
        <v>11</v>
      </c>
      <c r="E43" s="127" t="s">
        <v>836</v>
      </c>
      <c r="F43" s="126" t="s">
        <v>837</v>
      </c>
      <c r="G43" s="112">
        <f t="shared" si="24"/>
        <v>193000</v>
      </c>
      <c r="H43" s="101">
        <v>144750</v>
      </c>
      <c r="I43" s="101">
        <f t="shared" si="22"/>
        <v>48250</v>
      </c>
      <c r="J43" s="112"/>
      <c r="K43" s="112">
        <v>0</v>
      </c>
      <c r="L43" s="112">
        <v>0</v>
      </c>
      <c r="M43" s="112">
        <f>64333</f>
        <v>64333</v>
      </c>
      <c r="N43" s="112">
        <f>64333.5</f>
        <v>64333.5</v>
      </c>
      <c r="O43" s="112">
        <f>64333.5</f>
        <v>64333.5</v>
      </c>
      <c r="P43" s="143" t="s">
        <v>1013</v>
      </c>
    </row>
    <row r="44" spans="1:28" ht="48" x14ac:dyDescent="0.2">
      <c r="A44" s="100"/>
      <c r="B44" s="98"/>
      <c r="C44" s="102" t="s">
        <v>994</v>
      </c>
      <c r="D44" s="103"/>
      <c r="E44" s="103"/>
      <c r="F44" s="98"/>
      <c r="G44" s="101">
        <f t="shared" si="24"/>
        <v>0</v>
      </c>
      <c r="H44" s="99">
        <v>0</v>
      </c>
      <c r="I44" s="99">
        <f t="shared" si="22"/>
        <v>0</v>
      </c>
      <c r="J44" s="101"/>
      <c r="K44" s="101"/>
      <c r="L44" s="101"/>
      <c r="M44" s="101"/>
      <c r="N44" s="101"/>
      <c r="O44" s="101">
        <v>0</v>
      </c>
      <c r="P44" s="101" t="s">
        <v>1020</v>
      </c>
      <c r="AB44" s="80"/>
    </row>
    <row r="45" spans="1:28" ht="24" x14ac:dyDescent="0.2">
      <c r="A45" s="81"/>
      <c r="B45" s="81" t="s">
        <v>948</v>
      </c>
      <c r="C45" s="94" t="s">
        <v>872</v>
      </c>
      <c r="D45" s="81" t="s">
        <v>8</v>
      </c>
      <c r="E45" s="81"/>
      <c r="F45" s="81"/>
      <c r="G45" s="85">
        <f>+G46+G47</f>
        <v>13259015.68</v>
      </c>
      <c r="H45" s="85">
        <f t="shared" ref="H45:O45" si="25">+H46+H47</f>
        <v>9944261.7599999998</v>
      </c>
      <c r="I45" s="85">
        <f t="shared" si="25"/>
        <v>3314753.92</v>
      </c>
      <c r="J45" s="85">
        <f t="shared" si="25"/>
        <v>0</v>
      </c>
      <c r="K45" s="85">
        <f t="shared" si="25"/>
        <v>1128560.77</v>
      </c>
      <c r="L45" s="85">
        <f t="shared" si="25"/>
        <v>4067519.68</v>
      </c>
      <c r="M45" s="85">
        <f t="shared" si="25"/>
        <v>5500000</v>
      </c>
      <c r="N45" s="85">
        <f t="shared" si="25"/>
        <v>2562935.23</v>
      </c>
      <c r="O45" s="85">
        <f t="shared" si="25"/>
        <v>0</v>
      </c>
      <c r="P45" s="85"/>
      <c r="Z45" s="80"/>
    </row>
    <row r="46" spans="1:28" ht="240" x14ac:dyDescent="0.2">
      <c r="A46" s="126">
        <v>25</v>
      </c>
      <c r="B46" s="126" t="s">
        <v>949</v>
      </c>
      <c r="C46" s="148" t="s">
        <v>873</v>
      </c>
      <c r="D46" s="126" t="s">
        <v>11</v>
      </c>
      <c r="E46" s="126" t="s">
        <v>843</v>
      </c>
      <c r="F46" s="126" t="s">
        <v>839</v>
      </c>
      <c r="G46" s="112">
        <f t="shared" ref="G46:G47" si="26">+H46+I46</f>
        <v>13259015.68</v>
      </c>
      <c r="H46" s="101">
        <v>9944261.7599999998</v>
      </c>
      <c r="I46" s="101">
        <f t="shared" si="22"/>
        <v>3314753.92</v>
      </c>
      <c r="J46" s="112"/>
      <c r="K46" s="112">
        <v>1128560.77</v>
      </c>
      <c r="L46" s="112">
        <v>4067519.68</v>
      </c>
      <c r="M46" s="112">
        <f>5000000+500000</f>
        <v>5500000</v>
      </c>
      <c r="N46" s="112">
        <f>3016505.56-641570.33-500000+688000</f>
        <v>2562935.23</v>
      </c>
      <c r="O46" s="112">
        <v>0</v>
      </c>
      <c r="P46" s="141" t="s">
        <v>1019</v>
      </c>
      <c r="Y46" s="80"/>
    </row>
    <row r="47" spans="1:28" ht="48" x14ac:dyDescent="0.2">
      <c r="A47" s="98"/>
      <c r="B47" s="98"/>
      <c r="C47" s="102" t="s">
        <v>995</v>
      </c>
      <c r="D47" s="98"/>
      <c r="E47" s="98"/>
      <c r="F47" s="98"/>
      <c r="G47" s="101">
        <f t="shared" si="26"/>
        <v>0</v>
      </c>
      <c r="H47" s="99">
        <v>0</v>
      </c>
      <c r="I47" s="99">
        <f t="shared" si="22"/>
        <v>0</v>
      </c>
      <c r="J47" s="101"/>
      <c r="K47" s="101"/>
      <c r="L47" s="101"/>
      <c r="M47" s="101"/>
      <c r="N47" s="101"/>
      <c r="O47" s="101">
        <v>0</v>
      </c>
      <c r="P47" s="101" t="s">
        <v>1021</v>
      </c>
    </row>
    <row r="48" spans="1:28" ht="36" x14ac:dyDescent="0.2">
      <c r="A48" s="81"/>
      <c r="B48" s="81" t="s">
        <v>950</v>
      </c>
      <c r="C48" s="109" t="s">
        <v>875</v>
      </c>
      <c r="D48" s="81" t="s">
        <v>8</v>
      </c>
      <c r="E48" s="81"/>
      <c r="F48" s="81"/>
      <c r="G48" s="85">
        <f>+G49+G50</f>
        <v>350000</v>
      </c>
      <c r="H48" s="85">
        <f t="shared" ref="H48:O48" si="27">+H49+H50</f>
        <v>262500</v>
      </c>
      <c r="I48" s="85">
        <f t="shared" si="27"/>
        <v>87500</v>
      </c>
      <c r="J48" s="85">
        <f t="shared" si="27"/>
        <v>0</v>
      </c>
      <c r="K48" s="85">
        <f t="shared" si="27"/>
        <v>0</v>
      </c>
      <c r="L48" s="85">
        <f t="shared" si="27"/>
        <v>0</v>
      </c>
      <c r="M48" s="85">
        <f t="shared" si="27"/>
        <v>83333.34</v>
      </c>
      <c r="N48" s="85">
        <f t="shared" si="27"/>
        <v>133333.33000000002</v>
      </c>
      <c r="O48" s="85">
        <f t="shared" si="27"/>
        <v>133333.33000000002</v>
      </c>
      <c r="P48" s="85"/>
    </row>
    <row r="49" spans="1:21" ht="96" x14ac:dyDescent="0.2">
      <c r="A49" s="126">
        <v>26</v>
      </c>
      <c r="B49" s="126" t="s">
        <v>951</v>
      </c>
      <c r="C49" s="147" t="s">
        <v>876</v>
      </c>
      <c r="D49" s="126" t="s">
        <v>11</v>
      </c>
      <c r="E49" s="126" t="s">
        <v>836</v>
      </c>
      <c r="F49" s="126" t="s">
        <v>837</v>
      </c>
      <c r="G49" s="112">
        <f>+H49+I49</f>
        <v>100000</v>
      </c>
      <c r="H49" s="101">
        <v>75000</v>
      </c>
      <c r="I49" s="101">
        <f>ROUNDUP(H49/3,2)</f>
        <v>25000</v>
      </c>
      <c r="J49" s="112"/>
      <c r="K49" s="112">
        <v>0</v>
      </c>
      <c r="L49" s="112">
        <v>0</v>
      </c>
      <c r="M49" s="112">
        <f>33333.34</f>
        <v>33333.339999999997</v>
      </c>
      <c r="N49" s="112">
        <f>33333.33</f>
        <v>33333.33</v>
      </c>
      <c r="O49" s="112">
        <f>33333.33</f>
        <v>33333.33</v>
      </c>
      <c r="P49" s="143" t="s">
        <v>1014</v>
      </c>
    </row>
    <row r="50" spans="1:21" ht="60" x14ac:dyDescent="0.2">
      <c r="A50" s="126">
        <v>27</v>
      </c>
      <c r="B50" s="126" t="s">
        <v>952</v>
      </c>
      <c r="C50" s="147" t="s">
        <v>877</v>
      </c>
      <c r="D50" s="126" t="s">
        <v>11</v>
      </c>
      <c r="E50" s="126" t="s">
        <v>836</v>
      </c>
      <c r="F50" s="126" t="s">
        <v>837</v>
      </c>
      <c r="G50" s="112">
        <f t="shared" ref="G50" si="28">+H50+I50</f>
        <v>250000</v>
      </c>
      <c r="H50" s="101">
        <v>187500</v>
      </c>
      <c r="I50" s="101">
        <f t="shared" si="22"/>
        <v>62500</v>
      </c>
      <c r="J50" s="112"/>
      <c r="K50" s="112">
        <v>0</v>
      </c>
      <c r="L50" s="112">
        <v>0</v>
      </c>
      <c r="M50" s="112">
        <v>50000</v>
      </c>
      <c r="N50" s="112">
        <v>100000</v>
      </c>
      <c r="O50" s="112">
        <v>100000</v>
      </c>
      <c r="P50" s="141" t="s">
        <v>1016</v>
      </c>
    </row>
    <row r="51" spans="1:21" ht="48" x14ac:dyDescent="0.2">
      <c r="A51" s="81"/>
      <c r="B51" s="81" t="s">
        <v>953</v>
      </c>
      <c r="C51" s="94" t="s">
        <v>878</v>
      </c>
      <c r="D51" s="81" t="s">
        <v>8</v>
      </c>
      <c r="E51" s="81"/>
      <c r="F51" s="81"/>
      <c r="G51" s="85">
        <f t="shared" ref="G51:O51" si="29">SUM(G52:G54)</f>
        <v>2089333.34</v>
      </c>
      <c r="H51" s="85">
        <f t="shared" si="29"/>
        <v>1567000</v>
      </c>
      <c r="I51" s="85">
        <f t="shared" si="29"/>
        <v>522333.34</v>
      </c>
      <c r="J51" s="85">
        <f t="shared" si="29"/>
        <v>0</v>
      </c>
      <c r="K51" s="85">
        <f t="shared" si="29"/>
        <v>0</v>
      </c>
      <c r="L51" s="85">
        <f t="shared" si="29"/>
        <v>102480</v>
      </c>
      <c r="M51" s="85">
        <f t="shared" si="29"/>
        <v>597666.67000000004</v>
      </c>
      <c r="N51" s="85">
        <f t="shared" si="29"/>
        <v>699664.67</v>
      </c>
      <c r="O51" s="85">
        <f t="shared" si="29"/>
        <v>689522.00000000012</v>
      </c>
      <c r="P51" s="85"/>
    </row>
    <row r="52" spans="1:21" ht="36" x14ac:dyDescent="0.2">
      <c r="A52" s="118">
        <v>28</v>
      </c>
      <c r="B52" s="100" t="s">
        <v>954</v>
      </c>
      <c r="C52" s="145" t="s">
        <v>879</v>
      </c>
      <c r="D52" s="100" t="s">
        <v>11</v>
      </c>
      <c r="E52" s="98" t="s">
        <v>836</v>
      </c>
      <c r="F52" s="98" t="s">
        <v>837</v>
      </c>
      <c r="G52" s="112">
        <f t="shared" ref="G52:G54" si="30">+H52+I52</f>
        <v>1680000</v>
      </c>
      <c r="H52" s="101">
        <v>1260000</v>
      </c>
      <c r="I52" s="101">
        <f>ROUNDUP(H52/3,2)</f>
        <v>420000</v>
      </c>
      <c r="J52" s="101"/>
      <c r="K52" s="101">
        <v>0</v>
      </c>
      <c r="L52" s="101">
        <v>102480</v>
      </c>
      <c r="M52" s="101">
        <f>300000+166666.67</f>
        <v>466666.67000000004</v>
      </c>
      <c r="N52" s="101">
        <f>399998+166666.67</f>
        <v>566664.67000000004</v>
      </c>
      <c r="O52" s="101">
        <f>377522+166666.66</f>
        <v>544188.66</v>
      </c>
      <c r="P52" s="141" t="s">
        <v>986</v>
      </c>
      <c r="Q52" s="137"/>
      <c r="R52" s="137" t="s">
        <v>998</v>
      </c>
      <c r="S52" s="60"/>
      <c r="T52" s="137"/>
      <c r="U52" s="137"/>
    </row>
    <row r="53" spans="1:21" ht="96" x14ac:dyDescent="0.2">
      <c r="A53" s="118">
        <v>29</v>
      </c>
      <c r="B53" s="118" t="s">
        <v>955</v>
      </c>
      <c r="C53" s="148" t="s">
        <v>880</v>
      </c>
      <c r="D53" s="126" t="s">
        <v>11</v>
      </c>
      <c r="E53" s="126" t="s">
        <v>836</v>
      </c>
      <c r="F53" s="126" t="s">
        <v>839</v>
      </c>
      <c r="G53" s="112">
        <f t="shared" si="30"/>
        <v>176000</v>
      </c>
      <c r="H53" s="101">
        <v>132000</v>
      </c>
      <c r="I53" s="101">
        <f t="shared" ref="I53:I54" si="31">ROUNDUP(H53/3,2)</f>
        <v>44000</v>
      </c>
      <c r="J53" s="112"/>
      <c r="K53" s="112">
        <v>0</v>
      </c>
      <c r="L53" s="112">
        <v>0</v>
      </c>
      <c r="M53" s="112">
        <f>60111.12-2444.45</f>
        <v>57666.670000000006</v>
      </c>
      <c r="N53" s="112">
        <f>62111.11-2444.45</f>
        <v>59666.66</v>
      </c>
      <c r="O53" s="112">
        <f>61111.11-2444.44</f>
        <v>58666.67</v>
      </c>
      <c r="P53" s="143" t="s">
        <v>1015</v>
      </c>
    </row>
    <row r="54" spans="1:21" ht="120" x14ac:dyDescent="0.2">
      <c r="A54" s="118">
        <v>30</v>
      </c>
      <c r="B54" s="100" t="s">
        <v>956</v>
      </c>
      <c r="C54" s="145" t="s">
        <v>881</v>
      </c>
      <c r="D54" s="103" t="s">
        <v>11</v>
      </c>
      <c r="E54" s="98" t="s">
        <v>836</v>
      </c>
      <c r="F54" s="98" t="s">
        <v>837</v>
      </c>
      <c r="G54" s="101">
        <f t="shared" si="30"/>
        <v>233333.34</v>
      </c>
      <c r="H54" s="99">
        <v>175000</v>
      </c>
      <c r="I54" s="99">
        <f t="shared" si="31"/>
        <v>58333.340000000004</v>
      </c>
      <c r="J54" s="112"/>
      <c r="K54" s="101">
        <v>0</v>
      </c>
      <c r="L54" s="101">
        <v>0</v>
      </c>
      <c r="M54" s="101">
        <v>73333.33</v>
      </c>
      <c r="N54" s="101">
        <v>73333.34</v>
      </c>
      <c r="O54" s="101">
        <v>86666.67</v>
      </c>
      <c r="P54" s="143"/>
      <c r="R54" s="136"/>
    </row>
    <row r="55" spans="1:21" ht="24" x14ac:dyDescent="0.2">
      <c r="A55" s="81"/>
      <c r="B55" s="81" t="s">
        <v>957</v>
      </c>
      <c r="C55" s="94" t="s">
        <v>882</v>
      </c>
      <c r="D55" s="81" t="s">
        <v>8</v>
      </c>
      <c r="E55" s="81"/>
      <c r="F55" s="81"/>
      <c r="G55" s="85">
        <f>+G56+G57</f>
        <v>2084260.06</v>
      </c>
      <c r="H55" s="85">
        <f t="shared" ref="H55:O55" si="32">+H56+H57</f>
        <v>1563195.04</v>
      </c>
      <c r="I55" s="85">
        <f t="shared" si="32"/>
        <v>521065.02</v>
      </c>
      <c r="J55" s="85">
        <f t="shared" si="32"/>
        <v>0</v>
      </c>
      <c r="K55" s="85">
        <f t="shared" si="32"/>
        <v>181610.23</v>
      </c>
      <c r="L55" s="85">
        <f t="shared" si="32"/>
        <v>452818.77</v>
      </c>
      <c r="M55" s="85">
        <f t="shared" si="32"/>
        <v>500000</v>
      </c>
      <c r="N55" s="85">
        <f t="shared" si="32"/>
        <v>500000</v>
      </c>
      <c r="O55" s="85">
        <f t="shared" si="32"/>
        <v>449831.06</v>
      </c>
      <c r="P55" s="85"/>
    </row>
    <row r="56" spans="1:21" ht="48" x14ac:dyDescent="0.2">
      <c r="A56" s="118">
        <v>31</v>
      </c>
      <c r="B56" s="100" t="s">
        <v>958</v>
      </c>
      <c r="C56" s="145" t="s">
        <v>883</v>
      </c>
      <c r="D56" s="100" t="s">
        <v>11</v>
      </c>
      <c r="E56" s="100" t="s">
        <v>836</v>
      </c>
      <c r="F56" s="100" t="s">
        <v>837</v>
      </c>
      <c r="G56" s="101">
        <f t="shared" ref="G56:G57" si="33">+H56+I56</f>
        <v>0</v>
      </c>
      <c r="H56" s="101">
        <v>0</v>
      </c>
      <c r="I56" s="101">
        <f t="shared" si="22"/>
        <v>0</v>
      </c>
      <c r="J56" s="101"/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41"/>
      <c r="Q56" s="137"/>
      <c r="R56" s="137" t="s">
        <v>999</v>
      </c>
      <c r="S56" s="60"/>
      <c r="T56" s="137"/>
      <c r="U56" s="60">
        <v>210000</v>
      </c>
    </row>
    <row r="57" spans="1:21" ht="108" x14ac:dyDescent="0.2">
      <c r="A57" s="118">
        <v>32</v>
      </c>
      <c r="B57" s="100" t="s">
        <v>959</v>
      </c>
      <c r="C57" s="145" t="s">
        <v>884</v>
      </c>
      <c r="D57" s="118" t="s">
        <v>11</v>
      </c>
      <c r="E57" s="118" t="s">
        <v>836</v>
      </c>
      <c r="F57" s="118" t="s">
        <v>839</v>
      </c>
      <c r="G57" s="112">
        <f t="shared" si="33"/>
        <v>2084260.06</v>
      </c>
      <c r="H57" s="101">
        <v>1563195.04</v>
      </c>
      <c r="I57" s="101">
        <f t="shared" si="22"/>
        <v>521065.02</v>
      </c>
      <c r="J57" s="101"/>
      <c r="K57" s="101">
        <v>181610.23</v>
      </c>
      <c r="L57" s="101">
        <v>452818.77</v>
      </c>
      <c r="M57" s="101">
        <f>500000</f>
        <v>500000</v>
      </c>
      <c r="N57" s="101">
        <f>500000</f>
        <v>500000</v>
      </c>
      <c r="O57" s="101">
        <f>450000-168.94</f>
        <v>449831.06</v>
      </c>
      <c r="P57" s="141" t="s">
        <v>1017</v>
      </c>
    </row>
    <row r="58" spans="1:21" ht="24" x14ac:dyDescent="0.2">
      <c r="A58" s="122"/>
      <c r="B58" s="122" t="s">
        <v>960</v>
      </c>
      <c r="C58" s="123" t="s">
        <v>864</v>
      </c>
      <c r="D58" s="122" t="s">
        <v>847</v>
      </c>
      <c r="E58" s="122"/>
      <c r="F58" s="122"/>
      <c r="G58" s="124">
        <f>+G59</f>
        <v>700000</v>
      </c>
      <c r="H58" s="124">
        <f t="shared" ref="H58:O59" si="34">+H59</f>
        <v>700000</v>
      </c>
      <c r="I58" s="124">
        <f t="shared" si="34"/>
        <v>0</v>
      </c>
      <c r="J58" s="124">
        <f t="shared" si="34"/>
        <v>0</v>
      </c>
      <c r="K58" s="124">
        <f t="shared" si="34"/>
        <v>0</v>
      </c>
      <c r="L58" s="124">
        <f t="shared" si="34"/>
        <v>0</v>
      </c>
      <c r="M58" s="124">
        <f t="shared" si="34"/>
        <v>150000</v>
      </c>
      <c r="N58" s="124">
        <f t="shared" si="34"/>
        <v>300000</v>
      </c>
      <c r="O58" s="124">
        <f t="shared" si="34"/>
        <v>250000</v>
      </c>
      <c r="P58" s="124"/>
    </row>
    <row r="59" spans="1:21" x14ac:dyDescent="0.2">
      <c r="A59" s="81"/>
      <c r="B59" s="81" t="s">
        <v>961</v>
      </c>
      <c r="C59" s="94" t="s">
        <v>886</v>
      </c>
      <c r="D59" s="81" t="s">
        <v>8</v>
      </c>
      <c r="E59" s="81"/>
      <c r="F59" s="81"/>
      <c r="G59" s="85">
        <f>+G60</f>
        <v>700000</v>
      </c>
      <c r="H59" s="85">
        <f t="shared" si="34"/>
        <v>700000</v>
      </c>
      <c r="I59" s="85">
        <f t="shared" si="34"/>
        <v>0</v>
      </c>
      <c r="J59" s="85">
        <f t="shared" si="34"/>
        <v>0</v>
      </c>
      <c r="K59" s="85">
        <f t="shared" si="34"/>
        <v>0</v>
      </c>
      <c r="L59" s="85">
        <f t="shared" si="34"/>
        <v>0</v>
      </c>
      <c r="M59" s="85">
        <f t="shared" si="34"/>
        <v>150000</v>
      </c>
      <c r="N59" s="85">
        <f t="shared" si="34"/>
        <v>300000</v>
      </c>
      <c r="O59" s="85">
        <f t="shared" si="34"/>
        <v>250000</v>
      </c>
      <c r="P59" s="85"/>
    </row>
    <row r="60" spans="1:21" ht="36" x14ac:dyDescent="0.2">
      <c r="A60" s="126">
        <v>33</v>
      </c>
      <c r="B60" s="126" t="s">
        <v>962</v>
      </c>
      <c r="C60" s="148" t="s">
        <v>885</v>
      </c>
      <c r="D60" s="126" t="s">
        <v>11</v>
      </c>
      <c r="E60" s="126" t="s">
        <v>836</v>
      </c>
      <c r="F60" s="126" t="s">
        <v>839</v>
      </c>
      <c r="G60" s="112">
        <v>700000</v>
      </c>
      <c r="H60" s="99">
        <v>700000</v>
      </c>
      <c r="I60" s="99">
        <v>0</v>
      </c>
      <c r="J60" s="113"/>
      <c r="K60" s="113">
        <v>0</v>
      </c>
      <c r="L60" s="113">
        <v>0</v>
      </c>
      <c r="M60" s="113">
        <f>150000</f>
        <v>150000</v>
      </c>
      <c r="N60" s="113">
        <f>300000</f>
        <v>300000</v>
      </c>
      <c r="O60" s="113">
        <f>250000</f>
        <v>250000</v>
      </c>
      <c r="P60" s="144" t="s">
        <v>986</v>
      </c>
    </row>
    <row r="61" spans="1:21" ht="24" x14ac:dyDescent="0.2">
      <c r="A61" s="92"/>
      <c r="B61" s="92" t="s">
        <v>963</v>
      </c>
      <c r="C61" s="96" t="s">
        <v>184</v>
      </c>
      <c r="D61" s="92" t="s">
        <v>2</v>
      </c>
      <c r="E61" s="92"/>
      <c r="F61" s="92"/>
      <c r="G61" s="90">
        <f t="shared" ref="G61:O61" si="35">+G62+G75</f>
        <v>12316228.59</v>
      </c>
      <c r="H61" s="90">
        <f t="shared" si="35"/>
        <v>9333346.4199999999</v>
      </c>
      <c r="I61" s="90">
        <f t="shared" si="35"/>
        <v>2982882.17</v>
      </c>
      <c r="J61" s="90">
        <f t="shared" si="35"/>
        <v>0</v>
      </c>
      <c r="K61" s="90">
        <f t="shared" si="35"/>
        <v>94993.2</v>
      </c>
      <c r="L61" s="90">
        <f t="shared" si="35"/>
        <v>487879.62</v>
      </c>
      <c r="M61" s="90">
        <f t="shared" si="35"/>
        <v>1194333.3399999999</v>
      </c>
      <c r="N61" s="90">
        <f t="shared" si="35"/>
        <v>2754333.34</v>
      </c>
      <c r="O61" s="90">
        <f t="shared" si="35"/>
        <v>7784689.0799999991</v>
      </c>
      <c r="P61" s="90"/>
    </row>
    <row r="62" spans="1:21" ht="24" x14ac:dyDescent="0.2">
      <c r="A62" s="128"/>
      <c r="B62" s="128" t="s">
        <v>964</v>
      </c>
      <c r="C62" s="123" t="s">
        <v>859</v>
      </c>
      <c r="D62" s="122" t="s">
        <v>847</v>
      </c>
      <c r="E62" s="128"/>
      <c r="F62" s="128"/>
      <c r="G62" s="129">
        <f>+G63+G70+G73+G68</f>
        <v>11675061.92</v>
      </c>
      <c r="H62" s="129">
        <f t="shared" ref="H62:O62" si="36">+H63+H70+H73+H68</f>
        <v>8756296.4199999999</v>
      </c>
      <c r="I62" s="129">
        <f t="shared" si="36"/>
        <v>2918765.5</v>
      </c>
      <c r="J62" s="129">
        <f t="shared" si="36"/>
        <v>0</v>
      </c>
      <c r="K62" s="129">
        <f t="shared" si="36"/>
        <v>94993.2</v>
      </c>
      <c r="L62" s="129">
        <f t="shared" si="36"/>
        <v>485074.33999999997</v>
      </c>
      <c r="M62" s="129">
        <f t="shared" si="36"/>
        <v>1173333.3399999999</v>
      </c>
      <c r="N62" s="129">
        <f t="shared" si="36"/>
        <v>2613333.34</v>
      </c>
      <c r="O62" s="129">
        <f t="shared" si="36"/>
        <v>7308327.6899999995</v>
      </c>
      <c r="P62" s="129"/>
    </row>
    <row r="63" spans="1:21" x14ac:dyDescent="0.2">
      <c r="A63" s="83"/>
      <c r="B63" s="83" t="s">
        <v>965</v>
      </c>
      <c r="C63" s="97" t="s">
        <v>887</v>
      </c>
      <c r="D63" s="83" t="s">
        <v>8</v>
      </c>
      <c r="E63" s="83"/>
      <c r="F63" s="83"/>
      <c r="G63" s="86">
        <f>+G64+G65+G66+G67</f>
        <v>8835061.9199999999</v>
      </c>
      <c r="H63" s="86">
        <f t="shared" ref="H63:O63" si="37">+H64+H65+H66+H67</f>
        <v>6626296.4199999999</v>
      </c>
      <c r="I63" s="86">
        <f t="shared" si="37"/>
        <v>2208765.5</v>
      </c>
      <c r="J63" s="86">
        <f t="shared" si="37"/>
        <v>0</v>
      </c>
      <c r="K63" s="86">
        <f t="shared" si="37"/>
        <v>87063.42</v>
      </c>
      <c r="L63" s="86">
        <f t="shared" si="37"/>
        <v>440386.74</v>
      </c>
      <c r="M63" s="86">
        <f t="shared" si="37"/>
        <v>893333.34</v>
      </c>
      <c r="N63" s="86">
        <f t="shared" si="37"/>
        <v>1543333.34</v>
      </c>
      <c r="O63" s="86">
        <f t="shared" si="37"/>
        <v>5870945.0699999994</v>
      </c>
      <c r="P63" s="86"/>
    </row>
    <row r="64" spans="1:21" ht="36" x14ac:dyDescent="0.2">
      <c r="A64" s="104">
        <v>34</v>
      </c>
      <c r="B64" s="104" t="s">
        <v>966</v>
      </c>
      <c r="C64" s="105" t="s">
        <v>888</v>
      </c>
      <c r="D64" s="104" t="s">
        <v>11</v>
      </c>
      <c r="E64" s="104" t="s">
        <v>816</v>
      </c>
      <c r="F64" s="104" t="s">
        <v>839</v>
      </c>
      <c r="G64" s="101">
        <f t="shared" ref="G64:G67" si="38">+H64+I64</f>
        <v>5333333.34</v>
      </c>
      <c r="H64" s="99">
        <v>4000000</v>
      </c>
      <c r="I64" s="99">
        <f t="shared" ref="I64:I74" si="39">ROUNDUP(H64/3,2)</f>
        <v>1333333.3400000001</v>
      </c>
      <c r="J64" s="106"/>
      <c r="K64" s="106">
        <v>82049.84</v>
      </c>
      <c r="L64" s="106">
        <v>411129.05</v>
      </c>
      <c r="M64" s="106">
        <v>500000</v>
      </c>
      <c r="N64" s="106">
        <v>500000</v>
      </c>
      <c r="O64" s="106">
        <v>3840154.44</v>
      </c>
      <c r="P64" s="144" t="s">
        <v>986</v>
      </c>
    </row>
    <row r="65" spans="1:16" ht="36" x14ac:dyDescent="0.2">
      <c r="A65" s="104">
        <v>35</v>
      </c>
      <c r="B65" s="104" t="s">
        <v>967</v>
      </c>
      <c r="C65" s="105" t="s">
        <v>889</v>
      </c>
      <c r="D65" s="104" t="s">
        <v>11</v>
      </c>
      <c r="E65" s="104" t="s">
        <v>816</v>
      </c>
      <c r="F65" s="104" t="s">
        <v>839</v>
      </c>
      <c r="G65" s="101">
        <f t="shared" si="38"/>
        <v>3115061.9</v>
      </c>
      <c r="H65" s="99">
        <v>2336296.42</v>
      </c>
      <c r="I65" s="99">
        <f t="shared" si="39"/>
        <v>778765.48</v>
      </c>
      <c r="J65" s="106"/>
      <c r="K65" s="106">
        <v>0</v>
      </c>
      <c r="L65" s="106">
        <v>1566.48</v>
      </c>
      <c r="M65" s="106">
        <v>350000</v>
      </c>
      <c r="N65" s="106">
        <v>1000000</v>
      </c>
      <c r="O65" s="106">
        <v>1763495.42</v>
      </c>
      <c r="P65" s="144" t="s">
        <v>986</v>
      </c>
    </row>
    <row r="66" spans="1:16" ht="36" x14ac:dyDescent="0.2">
      <c r="A66" s="104">
        <v>36</v>
      </c>
      <c r="B66" s="104" t="s">
        <v>968</v>
      </c>
      <c r="C66" s="105" t="s">
        <v>890</v>
      </c>
      <c r="D66" s="104" t="s">
        <v>11</v>
      </c>
      <c r="E66" s="104" t="s">
        <v>816</v>
      </c>
      <c r="F66" s="104" t="s">
        <v>839</v>
      </c>
      <c r="G66" s="101">
        <f t="shared" si="38"/>
        <v>293333.33999999997</v>
      </c>
      <c r="H66" s="99">
        <v>220000</v>
      </c>
      <c r="I66" s="99">
        <f t="shared" si="39"/>
        <v>73333.34</v>
      </c>
      <c r="J66" s="106"/>
      <c r="K66" s="106">
        <v>5013.58</v>
      </c>
      <c r="L66" s="106">
        <v>27691.21</v>
      </c>
      <c r="M66" s="106">
        <v>30000</v>
      </c>
      <c r="N66" s="106">
        <v>30000</v>
      </c>
      <c r="O66" s="106">
        <f>+G66-K66-L66-M66-N66</f>
        <v>200628.54999999996</v>
      </c>
      <c r="P66" s="144" t="s">
        <v>986</v>
      </c>
    </row>
    <row r="67" spans="1:16" ht="36" x14ac:dyDescent="0.2">
      <c r="A67" s="104">
        <v>37</v>
      </c>
      <c r="B67" s="104" t="s">
        <v>969</v>
      </c>
      <c r="C67" s="105" t="s">
        <v>891</v>
      </c>
      <c r="D67" s="104" t="s">
        <v>11</v>
      </c>
      <c r="E67" s="119" t="s">
        <v>896</v>
      </c>
      <c r="F67" s="104" t="s">
        <v>837</v>
      </c>
      <c r="G67" s="101">
        <f t="shared" si="38"/>
        <v>93333.34</v>
      </c>
      <c r="H67" s="99">
        <v>70000</v>
      </c>
      <c r="I67" s="99">
        <f t="shared" si="39"/>
        <v>23333.34</v>
      </c>
      <c r="J67" s="106"/>
      <c r="K67" s="99">
        <v>0</v>
      </c>
      <c r="L67" s="99">
        <v>0</v>
      </c>
      <c r="M67" s="99">
        <v>13333.34</v>
      </c>
      <c r="N67" s="99">
        <v>13333.34</v>
      </c>
      <c r="O67" s="99">
        <f>+G67-M67-N67</f>
        <v>66666.66</v>
      </c>
      <c r="P67" s="144" t="s">
        <v>986</v>
      </c>
    </row>
    <row r="68" spans="1:16" x14ac:dyDescent="0.2">
      <c r="A68" s="83"/>
      <c r="B68" s="83" t="s">
        <v>1000</v>
      </c>
      <c r="C68" s="97" t="s">
        <v>1001</v>
      </c>
      <c r="D68" s="83" t="s">
        <v>8</v>
      </c>
      <c r="E68" s="83"/>
      <c r="F68" s="83"/>
      <c r="G68" s="86">
        <f>+G69</f>
        <v>2000000</v>
      </c>
      <c r="H68" s="86">
        <f t="shared" ref="H68:O68" si="40">+H69</f>
        <v>1500000</v>
      </c>
      <c r="I68" s="86">
        <f t="shared" si="40"/>
        <v>500000</v>
      </c>
      <c r="J68" s="86">
        <f t="shared" si="40"/>
        <v>0</v>
      </c>
      <c r="K68" s="86">
        <f t="shared" si="40"/>
        <v>0</v>
      </c>
      <c r="L68" s="86">
        <f t="shared" si="40"/>
        <v>0</v>
      </c>
      <c r="M68" s="86">
        <f t="shared" si="40"/>
        <v>210000</v>
      </c>
      <c r="N68" s="86">
        <f t="shared" si="40"/>
        <v>1000000</v>
      </c>
      <c r="O68" s="86">
        <f t="shared" si="40"/>
        <v>790000</v>
      </c>
      <c r="P68" s="85"/>
    </row>
    <row r="69" spans="1:16" ht="36" x14ac:dyDescent="0.2">
      <c r="A69" s="119">
        <v>38</v>
      </c>
      <c r="B69" s="119" t="s">
        <v>1006</v>
      </c>
      <c r="C69" s="120" t="s">
        <v>897</v>
      </c>
      <c r="D69" s="119" t="s">
        <v>11</v>
      </c>
      <c r="E69" s="119" t="s">
        <v>896</v>
      </c>
      <c r="F69" s="119" t="s">
        <v>839</v>
      </c>
      <c r="G69" s="101">
        <f t="shared" ref="G69" si="41">+H69+I69</f>
        <v>2000000</v>
      </c>
      <c r="H69" s="99">
        <v>1500000</v>
      </c>
      <c r="I69" s="99">
        <f t="shared" ref="I69" si="42">ROUNDUP(H69/3,2)</f>
        <v>500000</v>
      </c>
      <c r="J69" s="114"/>
      <c r="K69" s="99">
        <v>0</v>
      </c>
      <c r="L69" s="99">
        <v>0</v>
      </c>
      <c r="M69" s="99">
        <v>210000</v>
      </c>
      <c r="N69" s="99">
        <v>1000000</v>
      </c>
      <c r="O69" s="99">
        <v>790000</v>
      </c>
      <c r="P69" s="144" t="s">
        <v>986</v>
      </c>
    </row>
    <row r="70" spans="1:16" x14ac:dyDescent="0.2">
      <c r="A70" s="83"/>
      <c r="B70" s="83" t="s">
        <v>970</v>
      </c>
      <c r="C70" s="97" t="s">
        <v>892</v>
      </c>
      <c r="D70" s="83" t="s">
        <v>8</v>
      </c>
      <c r="E70" s="83"/>
      <c r="F70" s="83"/>
      <c r="G70" s="86">
        <f>+G71+G72</f>
        <v>700000</v>
      </c>
      <c r="H70" s="86">
        <f t="shared" ref="H70:O70" si="43">+H71+H72</f>
        <v>525000</v>
      </c>
      <c r="I70" s="86">
        <f t="shared" si="43"/>
        <v>175000</v>
      </c>
      <c r="J70" s="86">
        <f t="shared" si="43"/>
        <v>0</v>
      </c>
      <c r="K70" s="85">
        <f t="shared" si="43"/>
        <v>7929.78</v>
      </c>
      <c r="L70" s="85">
        <f t="shared" si="43"/>
        <v>44687.6</v>
      </c>
      <c r="M70" s="85">
        <f t="shared" si="43"/>
        <v>60000</v>
      </c>
      <c r="N70" s="85">
        <f t="shared" si="43"/>
        <v>60000</v>
      </c>
      <c r="O70" s="85">
        <f t="shared" si="43"/>
        <v>527382.62</v>
      </c>
      <c r="P70" s="85"/>
    </row>
    <row r="71" spans="1:16" ht="36" x14ac:dyDescent="0.2">
      <c r="A71" s="104">
        <v>39</v>
      </c>
      <c r="B71" s="104" t="s">
        <v>971</v>
      </c>
      <c r="C71" s="105" t="s">
        <v>893</v>
      </c>
      <c r="D71" s="104" t="s">
        <v>11</v>
      </c>
      <c r="E71" s="104" t="s">
        <v>816</v>
      </c>
      <c r="F71" s="104" t="s">
        <v>839</v>
      </c>
      <c r="G71" s="101">
        <f t="shared" ref="G71:G72" si="44">+H71+I71</f>
        <v>500000</v>
      </c>
      <c r="H71" s="99">
        <v>375000</v>
      </c>
      <c r="I71" s="99">
        <f t="shared" si="39"/>
        <v>125000</v>
      </c>
      <c r="J71" s="106"/>
      <c r="K71" s="99">
        <v>2911.42</v>
      </c>
      <c r="L71" s="99">
        <v>33725.449999999997</v>
      </c>
      <c r="M71" s="99">
        <v>40000</v>
      </c>
      <c r="N71" s="99">
        <v>40000</v>
      </c>
      <c r="O71" s="99">
        <v>383363.13</v>
      </c>
      <c r="P71" s="144" t="s">
        <v>986</v>
      </c>
    </row>
    <row r="72" spans="1:16" ht="36" x14ac:dyDescent="0.2">
      <c r="A72" s="104">
        <v>40</v>
      </c>
      <c r="B72" s="104" t="s">
        <v>972</v>
      </c>
      <c r="C72" s="105" t="s">
        <v>894</v>
      </c>
      <c r="D72" s="104" t="s">
        <v>11</v>
      </c>
      <c r="E72" s="104" t="s">
        <v>816</v>
      </c>
      <c r="F72" s="104" t="s">
        <v>839</v>
      </c>
      <c r="G72" s="101">
        <f t="shared" si="44"/>
        <v>200000</v>
      </c>
      <c r="H72" s="99">
        <v>150000</v>
      </c>
      <c r="I72" s="99">
        <f t="shared" si="39"/>
        <v>50000</v>
      </c>
      <c r="J72" s="106"/>
      <c r="K72" s="99">
        <v>5018.3599999999997</v>
      </c>
      <c r="L72" s="99">
        <v>10962.15</v>
      </c>
      <c r="M72" s="99">
        <v>20000</v>
      </c>
      <c r="N72" s="99">
        <v>20000</v>
      </c>
      <c r="O72" s="99">
        <v>144019.49000000002</v>
      </c>
      <c r="P72" s="144" t="s">
        <v>986</v>
      </c>
    </row>
    <row r="73" spans="1:16" ht="24" x14ac:dyDescent="0.2">
      <c r="A73" s="83"/>
      <c r="B73" s="83" t="s">
        <v>973</v>
      </c>
      <c r="C73" s="97" t="s">
        <v>895</v>
      </c>
      <c r="D73" s="83" t="s">
        <v>8</v>
      </c>
      <c r="E73" s="83"/>
      <c r="F73" s="83"/>
      <c r="G73" s="86">
        <f>+G74</f>
        <v>140000</v>
      </c>
      <c r="H73" s="86">
        <f t="shared" ref="H73:O73" si="45">+H74</f>
        <v>105000</v>
      </c>
      <c r="I73" s="86">
        <f t="shared" si="45"/>
        <v>35000</v>
      </c>
      <c r="J73" s="86">
        <f t="shared" si="45"/>
        <v>0</v>
      </c>
      <c r="K73" s="86">
        <f t="shared" si="45"/>
        <v>0</v>
      </c>
      <c r="L73" s="86">
        <f t="shared" si="45"/>
        <v>0</v>
      </c>
      <c r="M73" s="86">
        <f t="shared" si="45"/>
        <v>10000</v>
      </c>
      <c r="N73" s="86">
        <f t="shared" si="45"/>
        <v>10000</v>
      </c>
      <c r="O73" s="86">
        <f t="shared" si="45"/>
        <v>120000</v>
      </c>
      <c r="P73" s="85"/>
    </row>
    <row r="74" spans="1:16" ht="36" x14ac:dyDescent="0.2">
      <c r="A74" s="104">
        <v>41</v>
      </c>
      <c r="B74" s="104" t="s">
        <v>974</v>
      </c>
      <c r="C74" s="105" t="s">
        <v>984</v>
      </c>
      <c r="D74" s="104" t="s">
        <v>11</v>
      </c>
      <c r="E74" s="104" t="s">
        <v>816</v>
      </c>
      <c r="F74" s="104" t="s">
        <v>837</v>
      </c>
      <c r="G74" s="101">
        <f t="shared" ref="G74" si="46">+H74+I74</f>
        <v>140000</v>
      </c>
      <c r="H74" s="99">
        <v>105000</v>
      </c>
      <c r="I74" s="99">
        <f t="shared" si="39"/>
        <v>35000</v>
      </c>
      <c r="J74" s="106"/>
      <c r="K74" s="99">
        <v>0</v>
      </c>
      <c r="L74" s="99">
        <v>0</v>
      </c>
      <c r="M74" s="99">
        <v>10000</v>
      </c>
      <c r="N74" s="99">
        <v>10000</v>
      </c>
      <c r="O74" s="99">
        <v>120000</v>
      </c>
      <c r="P74" s="144" t="s">
        <v>986</v>
      </c>
    </row>
    <row r="75" spans="1:16" ht="24" x14ac:dyDescent="0.2">
      <c r="A75" s="122"/>
      <c r="B75" s="122" t="s">
        <v>975</v>
      </c>
      <c r="C75" s="123" t="s">
        <v>858</v>
      </c>
      <c r="D75" s="122" t="s">
        <v>847</v>
      </c>
      <c r="E75" s="122"/>
      <c r="F75" s="122"/>
      <c r="G75" s="124">
        <f>+G76+G78</f>
        <v>641166.67000000004</v>
      </c>
      <c r="H75" s="124">
        <f t="shared" ref="H75:O75" si="47">+H76+H78</f>
        <v>577050</v>
      </c>
      <c r="I75" s="124">
        <f t="shared" si="47"/>
        <v>64116.670000000006</v>
      </c>
      <c r="J75" s="124">
        <f t="shared" si="47"/>
        <v>0</v>
      </c>
      <c r="K75" s="124">
        <f t="shared" si="47"/>
        <v>0</v>
      </c>
      <c r="L75" s="124">
        <f t="shared" si="47"/>
        <v>2805.28</v>
      </c>
      <c r="M75" s="124">
        <f t="shared" si="47"/>
        <v>21000</v>
      </c>
      <c r="N75" s="124">
        <f t="shared" si="47"/>
        <v>141000</v>
      </c>
      <c r="O75" s="124">
        <f t="shared" si="47"/>
        <v>476361.39</v>
      </c>
      <c r="P75" s="124"/>
    </row>
    <row r="76" spans="1:16" ht="24" x14ac:dyDescent="0.2">
      <c r="A76" s="83"/>
      <c r="B76" s="83" t="s">
        <v>976</v>
      </c>
      <c r="C76" s="97" t="s">
        <v>898</v>
      </c>
      <c r="D76" s="83" t="s">
        <v>8</v>
      </c>
      <c r="E76" s="83"/>
      <c r="F76" s="83"/>
      <c r="G76" s="86">
        <f t="shared" ref="G76:O76" si="48">+G77</f>
        <v>68600</v>
      </c>
      <c r="H76" s="86">
        <f t="shared" si="48"/>
        <v>61740</v>
      </c>
      <c r="I76" s="86">
        <f t="shared" si="48"/>
        <v>6860</v>
      </c>
      <c r="J76" s="86">
        <f t="shared" si="48"/>
        <v>0</v>
      </c>
      <c r="K76" s="86">
        <f t="shared" si="48"/>
        <v>0</v>
      </c>
      <c r="L76" s="86">
        <f t="shared" si="48"/>
        <v>2805.28</v>
      </c>
      <c r="M76" s="86">
        <f t="shared" si="48"/>
        <v>21000</v>
      </c>
      <c r="N76" s="86">
        <f t="shared" si="48"/>
        <v>21000</v>
      </c>
      <c r="O76" s="86">
        <f t="shared" si="48"/>
        <v>23794.720000000001</v>
      </c>
      <c r="P76" s="86"/>
    </row>
    <row r="77" spans="1:16" ht="36" x14ac:dyDescent="0.2">
      <c r="A77" s="119">
        <v>42</v>
      </c>
      <c r="B77" s="104" t="s">
        <v>977</v>
      </c>
      <c r="C77" s="149" t="s">
        <v>898</v>
      </c>
      <c r="D77" s="104" t="s">
        <v>11</v>
      </c>
      <c r="E77" s="126" t="s">
        <v>836</v>
      </c>
      <c r="F77" s="104" t="s">
        <v>839</v>
      </c>
      <c r="G77" s="112">
        <f t="shared" ref="G77" si="49">+H77+I77</f>
        <v>68600</v>
      </c>
      <c r="H77" s="99">
        <v>61740</v>
      </c>
      <c r="I77" s="99">
        <f>ROUNDUP(H77/9,2)</f>
        <v>6860</v>
      </c>
      <c r="J77" s="106"/>
      <c r="K77" s="138">
        <v>0</v>
      </c>
      <c r="L77" s="139">
        <v>2805.28</v>
      </c>
      <c r="M77" s="106">
        <f>15400+5600</f>
        <v>21000</v>
      </c>
      <c r="N77" s="101">
        <f>15400+5600</f>
        <v>21000</v>
      </c>
      <c r="O77" s="101">
        <f>18200+4994.72+600</f>
        <v>23794.720000000001</v>
      </c>
      <c r="P77" s="144" t="s">
        <v>986</v>
      </c>
    </row>
    <row r="78" spans="1:16" x14ac:dyDescent="0.2">
      <c r="A78" s="83"/>
      <c r="B78" s="83" t="s">
        <v>978</v>
      </c>
      <c r="C78" s="97" t="s">
        <v>899</v>
      </c>
      <c r="D78" s="83" t="s">
        <v>8</v>
      </c>
      <c r="E78" s="83"/>
      <c r="F78" s="83"/>
      <c r="G78" s="86">
        <f t="shared" ref="G78:O78" si="50">+G79</f>
        <v>572566.67000000004</v>
      </c>
      <c r="H78" s="86">
        <f t="shared" si="50"/>
        <v>515310</v>
      </c>
      <c r="I78" s="86">
        <f t="shared" si="50"/>
        <v>57256.670000000006</v>
      </c>
      <c r="J78" s="86">
        <f t="shared" si="50"/>
        <v>0</v>
      </c>
      <c r="K78" s="86">
        <f t="shared" si="50"/>
        <v>0</v>
      </c>
      <c r="L78" s="86">
        <f t="shared" si="50"/>
        <v>0</v>
      </c>
      <c r="M78" s="86">
        <f t="shared" si="50"/>
        <v>0</v>
      </c>
      <c r="N78" s="86">
        <f t="shared" si="50"/>
        <v>120000</v>
      </c>
      <c r="O78" s="86">
        <f t="shared" si="50"/>
        <v>452566.67000000004</v>
      </c>
      <c r="P78" s="86"/>
    </row>
    <row r="79" spans="1:16" ht="36" x14ac:dyDescent="0.2">
      <c r="A79" s="104">
        <v>43</v>
      </c>
      <c r="B79" s="104" t="s">
        <v>979</v>
      </c>
      <c r="C79" s="105" t="s">
        <v>900</v>
      </c>
      <c r="D79" s="104" t="s">
        <v>11</v>
      </c>
      <c r="E79" s="104" t="s">
        <v>816</v>
      </c>
      <c r="F79" s="104" t="s">
        <v>839</v>
      </c>
      <c r="G79" s="101">
        <f t="shared" ref="G79" si="51">+H79+I79</f>
        <v>572566.67000000004</v>
      </c>
      <c r="H79" s="99">
        <v>515310</v>
      </c>
      <c r="I79" s="99">
        <f>ROUNDUP(H79/9,2)</f>
        <v>57256.670000000006</v>
      </c>
      <c r="J79" s="106"/>
      <c r="K79" s="106">
        <v>0</v>
      </c>
      <c r="L79" s="106">
        <v>0</v>
      </c>
      <c r="M79" s="106">
        <v>0</v>
      </c>
      <c r="N79" s="106">
        <v>120000</v>
      </c>
      <c r="O79" s="101">
        <v>452566.67000000004</v>
      </c>
      <c r="P79" s="144" t="s">
        <v>986</v>
      </c>
    </row>
    <row r="80" spans="1:16" ht="24" x14ac:dyDescent="0.2">
      <c r="A80" s="92"/>
      <c r="B80" s="92" t="s">
        <v>987</v>
      </c>
      <c r="C80" s="96" t="s">
        <v>988</v>
      </c>
      <c r="D80" s="92" t="s">
        <v>2</v>
      </c>
      <c r="E80" s="92"/>
      <c r="F80" s="92"/>
      <c r="G80" s="90">
        <f>+G81+G84</f>
        <v>300000</v>
      </c>
      <c r="H80" s="90">
        <f t="shared" ref="H80:O80" si="52">+H81+H84</f>
        <v>300000</v>
      </c>
      <c r="I80" s="90">
        <f t="shared" si="52"/>
        <v>0</v>
      </c>
      <c r="J80" s="90">
        <f t="shared" si="52"/>
        <v>0</v>
      </c>
      <c r="K80" s="90">
        <f t="shared" si="52"/>
        <v>0</v>
      </c>
      <c r="L80" s="90">
        <f t="shared" si="52"/>
        <v>280000</v>
      </c>
      <c r="M80" s="90">
        <f t="shared" si="52"/>
        <v>0</v>
      </c>
      <c r="N80" s="90">
        <f t="shared" si="52"/>
        <v>0</v>
      </c>
      <c r="O80" s="90">
        <f t="shared" si="52"/>
        <v>20000</v>
      </c>
      <c r="P80" s="90"/>
    </row>
    <row r="81" spans="1:16" ht="24" x14ac:dyDescent="0.2">
      <c r="A81" s="128"/>
      <c r="B81" s="128" t="s">
        <v>989</v>
      </c>
      <c r="C81" s="123" t="s">
        <v>990</v>
      </c>
      <c r="D81" s="122" t="s">
        <v>847</v>
      </c>
      <c r="E81" s="128"/>
      <c r="F81" s="128"/>
      <c r="G81" s="129">
        <f>+G82</f>
        <v>250000</v>
      </c>
      <c r="H81" s="129">
        <f t="shared" ref="H81:O82" si="53">+H82</f>
        <v>250000</v>
      </c>
      <c r="I81" s="129">
        <f t="shared" si="53"/>
        <v>0</v>
      </c>
      <c r="J81" s="129">
        <f t="shared" si="53"/>
        <v>0</v>
      </c>
      <c r="K81" s="129">
        <f t="shared" si="53"/>
        <v>0</v>
      </c>
      <c r="L81" s="129">
        <f t="shared" si="53"/>
        <v>230000</v>
      </c>
      <c r="M81" s="129">
        <f t="shared" si="53"/>
        <v>0</v>
      </c>
      <c r="N81" s="129">
        <f t="shared" si="53"/>
        <v>0</v>
      </c>
      <c r="O81" s="129">
        <f t="shared" si="53"/>
        <v>20000</v>
      </c>
      <c r="P81" s="129"/>
    </row>
    <row r="82" spans="1:16" x14ac:dyDescent="0.2">
      <c r="A82" s="83"/>
      <c r="B82" s="83" t="s">
        <v>991</v>
      </c>
      <c r="C82" s="97" t="s">
        <v>985</v>
      </c>
      <c r="D82" s="83" t="s">
        <v>8</v>
      </c>
      <c r="E82" s="83"/>
      <c r="F82" s="83"/>
      <c r="G82" s="86">
        <f>+G83</f>
        <v>250000</v>
      </c>
      <c r="H82" s="86">
        <f t="shared" si="53"/>
        <v>250000</v>
      </c>
      <c r="I82" s="86">
        <f t="shared" si="53"/>
        <v>0</v>
      </c>
      <c r="J82" s="86">
        <f t="shared" ref="J82" si="54">+J83+J84+J85+J86</f>
        <v>0</v>
      </c>
      <c r="K82" s="86">
        <f>+K83</f>
        <v>0</v>
      </c>
      <c r="L82" s="86">
        <f t="shared" si="53"/>
        <v>230000</v>
      </c>
      <c r="M82" s="86">
        <f t="shared" si="53"/>
        <v>0</v>
      </c>
      <c r="N82" s="86">
        <f t="shared" si="53"/>
        <v>0</v>
      </c>
      <c r="O82" s="86">
        <f t="shared" si="53"/>
        <v>20000</v>
      </c>
      <c r="P82" s="86"/>
    </row>
    <row r="83" spans="1:16" x14ac:dyDescent="0.2">
      <c r="A83" s="104">
        <v>44</v>
      </c>
      <c r="B83" s="104" t="s">
        <v>992</v>
      </c>
      <c r="C83" s="105" t="s">
        <v>985</v>
      </c>
      <c r="D83" s="104" t="s">
        <v>11</v>
      </c>
      <c r="E83" s="100" t="s">
        <v>908</v>
      </c>
      <c r="F83" s="104" t="s">
        <v>839</v>
      </c>
      <c r="G83" s="101">
        <v>250000</v>
      </c>
      <c r="H83" s="99">
        <v>250000</v>
      </c>
      <c r="I83" s="99">
        <v>0</v>
      </c>
      <c r="J83" s="106"/>
      <c r="K83" s="106">
        <v>0</v>
      </c>
      <c r="L83" s="106">
        <v>230000</v>
      </c>
      <c r="M83" s="106">
        <v>0</v>
      </c>
      <c r="N83" s="106">
        <v>0</v>
      </c>
      <c r="O83" s="106">
        <v>20000</v>
      </c>
      <c r="P83" s="106"/>
    </row>
    <row r="84" spans="1:16" ht="24" x14ac:dyDescent="0.2">
      <c r="A84" s="128"/>
      <c r="B84" s="128" t="s">
        <v>1002</v>
      </c>
      <c r="C84" s="123" t="s">
        <v>1004</v>
      </c>
      <c r="D84" s="122" t="s">
        <v>847</v>
      </c>
      <c r="E84" s="128"/>
      <c r="F84" s="128"/>
      <c r="G84" s="129">
        <f>+G85</f>
        <v>50000</v>
      </c>
      <c r="H84" s="129">
        <f>+H85</f>
        <v>50000</v>
      </c>
      <c r="I84" s="129">
        <f t="shared" ref="I84:K84" si="55">+I85+I90+I93</f>
        <v>0</v>
      </c>
      <c r="J84" s="129">
        <f t="shared" si="55"/>
        <v>0</v>
      </c>
      <c r="K84" s="129">
        <f t="shared" si="55"/>
        <v>0</v>
      </c>
      <c r="L84" s="129">
        <f>+L85</f>
        <v>50000</v>
      </c>
      <c r="M84" s="129">
        <f t="shared" ref="M84:O84" si="56">+M85</f>
        <v>0</v>
      </c>
      <c r="N84" s="129">
        <f t="shared" si="56"/>
        <v>0</v>
      </c>
      <c r="O84" s="129">
        <f t="shared" si="56"/>
        <v>0</v>
      </c>
      <c r="P84" s="129"/>
    </row>
    <row r="85" spans="1:16" x14ac:dyDescent="0.2">
      <c r="A85" s="83"/>
      <c r="B85" s="83" t="s">
        <v>1007</v>
      </c>
      <c r="C85" s="97" t="s">
        <v>1005</v>
      </c>
      <c r="D85" s="83" t="s">
        <v>8</v>
      </c>
      <c r="E85" s="83"/>
      <c r="F85" s="83"/>
      <c r="G85" s="86">
        <f>+G86</f>
        <v>50000</v>
      </c>
      <c r="H85" s="86">
        <f t="shared" ref="H85:I85" si="57">+H86</f>
        <v>50000</v>
      </c>
      <c r="I85" s="86">
        <f t="shared" si="57"/>
        <v>0</v>
      </c>
      <c r="J85" s="86">
        <f t="shared" ref="J85" si="58">+J86+J87+J88+J89</f>
        <v>0</v>
      </c>
      <c r="K85" s="86">
        <f>+K86</f>
        <v>0</v>
      </c>
      <c r="L85" s="86">
        <f t="shared" ref="L85:O85" si="59">+L86</f>
        <v>50000</v>
      </c>
      <c r="M85" s="86">
        <f t="shared" si="59"/>
        <v>0</v>
      </c>
      <c r="N85" s="86">
        <f t="shared" si="59"/>
        <v>0</v>
      </c>
      <c r="O85" s="86">
        <f t="shared" si="59"/>
        <v>0</v>
      </c>
      <c r="P85" s="86"/>
    </row>
    <row r="86" spans="1:16" x14ac:dyDescent="0.2">
      <c r="A86" s="104">
        <v>44</v>
      </c>
      <c r="B86" s="104" t="s">
        <v>1003</v>
      </c>
      <c r="C86" s="105" t="s">
        <v>1005</v>
      </c>
      <c r="D86" s="104" t="s">
        <v>11</v>
      </c>
      <c r="E86" s="100" t="s">
        <v>908</v>
      </c>
      <c r="F86" s="104" t="s">
        <v>839</v>
      </c>
      <c r="G86" s="101">
        <v>50000</v>
      </c>
      <c r="H86" s="99">
        <v>50000</v>
      </c>
      <c r="I86" s="99">
        <v>0</v>
      </c>
      <c r="J86" s="106"/>
      <c r="K86" s="106">
        <v>0</v>
      </c>
      <c r="L86" s="106">
        <v>50000</v>
      </c>
      <c r="M86" s="106">
        <v>0</v>
      </c>
      <c r="N86" s="106">
        <v>0</v>
      </c>
      <c r="O86" s="106">
        <v>0</v>
      </c>
      <c r="P86" s="106"/>
    </row>
    <row r="87" spans="1:16" ht="24" x14ac:dyDescent="0.2">
      <c r="A87" s="91"/>
      <c r="B87" s="92" t="s">
        <v>980</v>
      </c>
      <c r="C87" s="96" t="s">
        <v>832</v>
      </c>
      <c r="D87" s="92" t="s">
        <v>2</v>
      </c>
      <c r="E87" s="92"/>
      <c r="F87" s="92"/>
      <c r="G87" s="90">
        <f>+G88</f>
        <v>2539504.58</v>
      </c>
      <c r="H87" s="90">
        <f>+H88</f>
        <v>2539504.58</v>
      </c>
      <c r="I87" s="90">
        <f t="shared" ref="H87:L88" si="60">+I88</f>
        <v>0</v>
      </c>
      <c r="J87" s="90">
        <f t="shared" si="60"/>
        <v>0</v>
      </c>
      <c r="K87" s="90">
        <f t="shared" si="60"/>
        <v>0</v>
      </c>
      <c r="L87" s="90">
        <f t="shared" si="60"/>
        <v>0</v>
      </c>
      <c r="M87" s="90">
        <f>+M88</f>
        <v>507900.92</v>
      </c>
      <c r="N87" s="90">
        <f t="shared" ref="N87:O87" si="61">+N88</f>
        <v>507900.92</v>
      </c>
      <c r="O87" s="90">
        <f t="shared" si="61"/>
        <v>1523702.7400000002</v>
      </c>
      <c r="P87" s="90"/>
    </row>
    <row r="88" spans="1:16" ht="24" x14ac:dyDescent="0.2">
      <c r="A88" s="122"/>
      <c r="B88" s="122" t="s">
        <v>981</v>
      </c>
      <c r="C88" s="123" t="s">
        <v>909</v>
      </c>
      <c r="D88" s="122" t="s">
        <v>847</v>
      </c>
      <c r="E88" s="122"/>
      <c r="F88" s="122"/>
      <c r="G88" s="124">
        <f>+G89</f>
        <v>2539504.58</v>
      </c>
      <c r="H88" s="124">
        <f t="shared" si="60"/>
        <v>2539504.58</v>
      </c>
      <c r="I88" s="124">
        <f t="shared" si="60"/>
        <v>0</v>
      </c>
      <c r="J88" s="124">
        <f t="shared" si="60"/>
        <v>0</v>
      </c>
      <c r="K88" s="124">
        <v>0</v>
      </c>
      <c r="L88" s="124">
        <v>0</v>
      </c>
      <c r="M88" s="124">
        <f>+M89</f>
        <v>507900.92</v>
      </c>
      <c r="N88" s="124">
        <f t="shared" ref="N88:O88" si="62">+N89</f>
        <v>507900.92</v>
      </c>
      <c r="O88" s="124">
        <f t="shared" si="62"/>
        <v>1523702.7400000002</v>
      </c>
      <c r="P88" s="124"/>
    </row>
    <row r="89" spans="1:16" x14ac:dyDescent="0.2">
      <c r="A89" s="81"/>
      <c r="B89" s="81" t="s">
        <v>982</v>
      </c>
      <c r="C89" s="94" t="s">
        <v>901</v>
      </c>
      <c r="D89" s="81" t="s">
        <v>8</v>
      </c>
      <c r="E89" s="81"/>
      <c r="F89" s="81"/>
      <c r="G89" s="85">
        <v>2539504.58</v>
      </c>
      <c r="H89" s="85">
        <f>+G89</f>
        <v>2539504.58</v>
      </c>
      <c r="I89" s="85">
        <v>0</v>
      </c>
      <c r="J89" s="85"/>
      <c r="K89" s="85">
        <f>+K88</f>
        <v>0</v>
      </c>
      <c r="L89" s="85">
        <f t="shared" ref="L89" si="63">+L88</f>
        <v>0</v>
      </c>
      <c r="M89" s="85">
        <v>507900.92</v>
      </c>
      <c r="N89" s="85">
        <v>507900.92</v>
      </c>
      <c r="O89" s="85">
        <v>1523702.7400000002</v>
      </c>
      <c r="P89" s="85"/>
    </row>
    <row r="90" spans="1:16" x14ac:dyDescent="0.2">
      <c r="A90" s="104">
        <v>45</v>
      </c>
      <c r="B90" s="104" t="s">
        <v>1022</v>
      </c>
      <c r="C90" s="105" t="s">
        <v>1023</v>
      </c>
      <c r="D90" s="104" t="s">
        <v>11</v>
      </c>
      <c r="E90" s="100" t="s">
        <v>1024</v>
      </c>
      <c r="F90" s="104"/>
      <c r="G90" s="101">
        <f>+G89</f>
        <v>2539504.58</v>
      </c>
      <c r="H90" s="99">
        <f>+H89</f>
        <v>2539504.58</v>
      </c>
      <c r="I90" s="99">
        <v>0</v>
      </c>
      <c r="J90" s="106"/>
      <c r="K90" s="106">
        <v>0</v>
      </c>
      <c r="L90" s="106">
        <v>0</v>
      </c>
      <c r="M90" s="106">
        <f>+M89</f>
        <v>507900.92</v>
      </c>
      <c r="N90" s="106">
        <f>+N89</f>
        <v>507900.92</v>
      </c>
      <c r="O90" s="106">
        <f>+O89</f>
        <v>1523702.7400000002</v>
      </c>
      <c r="P90" s="106"/>
    </row>
  </sheetData>
  <autoFilter ref="A3:P90" xr:uid="{00000000-0009-0000-0000-000004000000}"/>
  <pageMargins left="0.25" right="0.25" top="0.75" bottom="0.75" header="0.3" footer="0.3"/>
  <pageSetup paperSize="8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 2025</vt:lpstr>
      <vt:lpstr>'AN 2025'!Področje_tiskanja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Tina Krvina</cp:lastModifiedBy>
  <cp:lastPrinted>2025-02-10T13:35:44Z</cp:lastPrinted>
  <dcterms:created xsi:type="dcterms:W3CDTF">2017-02-15T08:56:09Z</dcterms:created>
  <dcterms:modified xsi:type="dcterms:W3CDTF">2025-07-07T11:59:58Z</dcterms:modified>
</cp:coreProperties>
</file>