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5\46_AN_20251223\"/>
    </mc:Choice>
  </mc:AlternateContent>
  <xr:revisionPtr revIDLastSave="0" documentId="13_ncr:1_{7F2F46A1-22CA-4A2B-86D0-C0A9955B5738}" xr6:coauthVersionLast="47" xr6:coauthVersionMax="47" xr10:uidLastSave="{00000000-0000-0000-0000-000000000000}"/>
  <bookViews>
    <workbookView xWindow="25080" yWindow="-120" windowWidth="25440" windowHeight="1527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  <sheet name="Tabela" sheetId="11" state="hidden" r:id="rId6"/>
  </sheets>
  <definedNames>
    <definedName name="_xlnm._FilterDatabase" localSheetId="4" hidden="1">'AN 2025'!$A$3:$S$108</definedName>
    <definedName name="_xlnm.Print_Area" localSheetId="4">'AN 2025'!$A$3:$S$96</definedName>
    <definedName name="_xlnm.Print_Titles" localSheetId="4">'AN 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0" l="1"/>
  <c r="Q16" i="10" l="1"/>
  <c r="P16" i="10"/>
  <c r="N75" i="10"/>
  <c r="P12" i="10"/>
  <c r="M66" i="10"/>
  <c r="O48" i="10" l="1"/>
  <c r="M43" i="10"/>
  <c r="M25" i="10"/>
  <c r="O12" i="10"/>
  <c r="P11" i="10"/>
  <c r="P7" i="10" s="1"/>
  <c r="M10" i="10"/>
  <c r="O10" i="10"/>
  <c r="O71" i="10"/>
  <c r="H88" i="10"/>
  <c r="J88" i="10"/>
  <c r="K88" i="10"/>
  <c r="L88" i="10"/>
  <c r="M88" i="10"/>
  <c r="N88" i="10"/>
  <c r="O88" i="10"/>
  <c r="P88" i="10"/>
  <c r="Q88" i="10"/>
  <c r="H86" i="10"/>
  <c r="J86" i="10"/>
  <c r="K86" i="10"/>
  <c r="L86" i="10"/>
  <c r="M86" i="10"/>
  <c r="N86" i="10"/>
  <c r="O86" i="10"/>
  <c r="P86" i="10"/>
  <c r="Q86" i="10"/>
  <c r="H84" i="10"/>
  <c r="J84" i="10"/>
  <c r="K84" i="10"/>
  <c r="L84" i="10"/>
  <c r="M84" i="10"/>
  <c r="N84" i="10"/>
  <c r="O84" i="10"/>
  <c r="P84" i="10"/>
  <c r="Q84" i="10"/>
  <c r="H78" i="10"/>
  <c r="J78" i="10"/>
  <c r="K78" i="10"/>
  <c r="L78" i="10"/>
  <c r="M78" i="10"/>
  <c r="N78" i="10"/>
  <c r="P78" i="10"/>
  <c r="Q78" i="10"/>
  <c r="J35" i="10"/>
  <c r="K35" i="10"/>
  <c r="L35" i="10"/>
  <c r="M35" i="10"/>
  <c r="N35" i="10"/>
  <c r="O35" i="10"/>
  <c r="P35" i="10"/>
  <c r="Q35" i="10"/>
  <c r="R104" i="10"/>
  <c r="R103" i="10" s="1"/>
  <c r="R102" i="10" s="1"/>
  <c r="R101" i="10"/>
  <c r="R100" i="10" s="1"/>
  <c r="R99" i="10" s="1"/>
  <c r="Q106" i="10"/>
  <c r="Q103" i="10"/>
  <c r="Q102" i="10"/>
  <c r="Q100" i="10"/>
  <c r="Q99" i="10"/>
  <c r="Q95" i="10"/>
  <c r="Q94" i="10" s="1"/>
  <c r="Q92" i="10"/>
  <c r="Q74" i="10"/>
  <c r="Q73" i="10" s="1"/>
  <c r="Q69" i="10"/>
  <c r="Q65" i="10"/>
  <c r="Q62" i="10"/>
  <c r="Q60" i="10"/>
  <c r="Q55" i="10"/>
  <c r="Q51" i="10"/>
  <c r="Q46" i="10"/>
  <c r="Q45" i="10" s="1"/>
  <c r="Q41" i="10"/>
  <c r="Q40" i="10" s="1"/>
  <c r="Q38" i="10"/>
  <c r="Q31" i="10"/>
  <c r="Q28" i="10"/>
  <c r="Q23" i="10"/>
  <c r="Q21" i="10"/>
  <c r="Q18" i="10"/>
  <c r="Q7" i="10"/>
  <c r="J60" i="10"/>
  <c r="K60" i="10"/>
  <c r="L60" i="10"/>
  <c r="O60" i="10"/>
  <c r="P60" i="10"/>
  <c r="P106" i="10"/>
  <c r="P103" i="10"/>
  <c r="P102" i="10" s="1"/>
  <c r="P100" i="10"/>
  <c r="P99" i="10" s="1"/>
  <c r="P95" i="10"/>
  <c r="P94" i="10" s="1"/>
  <c r="P92" i="10"/>
  <c r="P74" i="10"/>
  <c r="P73" i="10" s="1"/>
  <c r="P69" i="10"/>
  <c r="P65" i="10"/>
  <c r="P62" i="10"/>
  <c r="P55" i="10"/>
  <c r="P51" i="10"/>
  <c r="P46" i="10"/>
  <c r="P45" i="10" s="1"/>
  <c r="P41" i="10"/>
  <c r="P40" i="10" s="1"/>
  <c r="P38" i="10"/>
  <c r="P31" i="10"/>
  <c r="P28" i="10"/>
  <c r="P23" i="10"/>
  <c r="P21" i="10"/>
  <c r="P18" i="10"/>
  <c r="R106" i="10"/>
  <c r="D31" i="11"/>
  <c r="D34" i="11" s="1"/>
  <c r="H105" i="10"/>
  <c r="H61" i="10"/>
  <c r="H60" i="10" s="1"/>
  <c r="M23" i="11"/>
  <c r="M21" i="11"/>
  <c r="M16" i="11"/>
  <c r="M13" i="11"/>
  <c r="M9" i="11"/>
  <c r="P27" i="10" l="1"/>
  <c r="Q6" i="10"/>
  <c r="Q5" i="10" s="1"/>
  <c r="Q98" i="10"/>
  <c r="Q27" i="10"/>
  <c r="Q77" i="10"/>
  <c r="Q76" i="10" s="1"/>
  <c r="Q50" i="10"/>
  <c r="Q49" i="10" s="1"/>
  <c r="P98" i="10"/>
  <c r="R98" i="10"/>
  <c r="P50" i="10"/>
  <c r="P49" i="10" s="1"/>
  <c r="P6" i="10"/>
  <c r="P5" i="10" s="1"/>
  <c r="I39" i="10"/>
  <c r="I34" i="10"/>
  <c r="I33" i="10"/>
  <c r="I32" i="10"/>
  <c r="I26" i="10" l="1"/>
  <c r="I17" i="10"/>
  <c r="I16" i="10"/>
  <c r="I15" i="10"/>
  <c r="G75" i="10"/>
  <c r="I72" i="10"/>
  <c r="H31" i="10"/>
  <c r="I31" i="10"/>
  <c r="J31" i="10"/>
  <c r="K31" i="10"/>
  <c r="L31" i="10"/>
  <c r="M31" i="10"/>
  <c r="N31" i="10"/>
  <c r="O31" i="10"/>
  <c r="J18" i="10"/>
  <c r="K18" i="10"/>
  <c r="L18" i="10"/>
  <c r="M18" i="10"/>
  <c r="N18" i="10"/>
  <c r="O18" i="10"/>
  <c r="I85" i="10"/>
  <c r="I84" i="10" s="1"/>
  <c r="H92" i="10"/>
  <c r="G85" i="10" l="1"/>
  <c r="H8" i="10"/>
  <c r="H7" i="10" s="1"/>
  <c r="G17" i="10"/>
  <c r="R17" i="10" s="1"/>
  <c r="I83" i="10"/>
  <c r="G9" i="11"/>
  <c r="H38" i="10"/>
  <c r="J38" i="10"/>
  <c r="K38" i="10"/>
  <c r="L38" i="10"/>
  <c r="M38" i="10"/>
  <c r="N38" i="10"/>
  <c r="O38" i="10"/>
  <c r="G39" i="10"/>
  <c r="G30" i="10"/>
  <c r="R30" i="10" s="1"/>
  <c r="H29" i="10"/>
  <c r="G37" i="10"/>
  <c r="R37" i="10" s="1"/>
  <c r="I42" i="10"/>
  <c r="G42" i="10" s="1"/>
  <c r="R42" i="10" s="1"/>
  <c r="G33" i="10"/>
  <c r="R33" i="10" s="1"/>
  <c r="G32" i="10"/>
  <c r="R32" i="10" s="1"/>
  <c r="H36" i="10"/>
  <c r="H35" i="10" s="1"/>
  <c r="G34" i="10"/>
  <c r="R34" i="10" s="1"/>
  <c r="L28" i="10"/>
  <c r="K28" i="10"/>
  <c r="J28" i="10"/>
  <c r="H69" i="10"/>
  <c r="G72" i="10"/>
  <c r="R72" i="10" s="1"/>
  <c r="H21" i="10"/>
  <c r="J21" i="10"/>
  <c r="K21" i="10"/>
  <c r="L21" i="10"/>
  <c r="G16" i="10"/>
  <c r="R16" i="10" s="1"/>
  <c r="G15" i="10"/>
  <c r="R15" i="10" s="1"/>
  <c r="H23" i="10"/>
  <c r="G26" i="10"/>
  <c r="R26" i="10" s="1"/>
  <c r="H19" i="10"/>
  <c r="H18" i="10" s="1"/>
  <c r="R31" i="10" l="1"/>
  <c r="G38" i="10"/>
  <c r="R39" i="10"/>
  <c r="R38" i="10" s="1"/>
  <c r="G84" i="10"/>
  <c r="R85" i="10"/>
  <c r="R84" i="10" s="1"/>
  <c r="I36" i="10"/>
  <c r="G29" i="10"/>
  <c r="R29" i="10" s="1"/>
  <c r="R28" i="10" s="1"/>
  <c r="G31" i="10"/>
  <c r="H28" i="10"/>
  <c r="I38" i="10"/>
  <c r="O28" i="10"/>
  <c r="O27" i="10" s="1"/>
  <c r="M28" i="10"/>
  <c r="N28" i="10"/>
  <c r="G36" i="10" l="1"/>
  <c r="I35" i="10"/>
  <c r="I28" i="10"/>
  <c r="G28" i="10"/>
  <c r="I27" i="10" l="1"/>
  <c r="G35" i="10"/>
  <c r="R36" i="10"/>
  <c r="R35" i="10" s="1"/>
  <c r="G48" i="10"/>
  <c r="G47" i="10"/>
  <c r="G21" i="11"/>
  <c r="G16" i="11"/>
  <c r="G13" i="11"/>
  <c r="G23" i="11" l="1"/>
  <c r="F17" i="11"/>
  <c r="F11" i="11"/>
  <c r="E11" i="11" s="1"/>
  <c r="H11" i="11" s="1"/>
  <c r="F18" i="11"/>
  <c r="E18" i="11" s="1"/>
  <c r="H18" i="11" s="1"/>
  <c r="I91" i="10"/>
  <c r="G91" i="10" s="1"/>
  <c r="R91" i="10" s="1"/>
  <c r="G83" i="10"/>
  <c r="R83" i="10" s="1"/>
  <c r="E17" i="11" l="1"/>
  <c r="H95" i="10"/>
  <c r="H94" i="10" s="1"/>
  <c r="J95" i="10"/>
  <c r="J94" i="10" s="1"/>
  <c r="K95" i="10"/>
  <c r="K94" i="10" s="1"/>
  <c r="L95" i="10"/>
  <c r="L94" i="10" s="1"/>
  <c r="I97" i="10"/>
  <c r="G97" i="10" s="1"/>
  <c r="R97" i="10" s="1"/>
  <c r="G105" i="10"/>
  <c r="D22" i="11" l="1"/>
  <c r="H17" i="11"/>
  <c r="G108" i="10"/>
  <c r="H22" i="11" l="1"/>
  <c r="E34" i="11"/>
  <c r="N106" i="10"/>
  <c r="N105" i="10" s="1"/>
  <c r="O106" i="10"/>
  <c r="M106" i="10"/>
  <c r="M105" i="10" s="1"/>
  <c r="O108" i="10"/>
  <c r="N108" i="10"/>
  <c r="M108" i="10"/>
  <c r="L107" i="10"/>
  <c r="K107" i="10"/>
  <c r="M47" i="10"/>
  <c r="R47" i="10" s="1"/>
  <c r="N60" i="10" l="1"/>
  <c r="M61" i="10" l="1"/>
  <c r="M60" i="10" s="1"/>
  <c r="N63" i="10"/>
  <c r="I63" i="10"/>
  <c r="G63" i="10" s="1"/>
  <c r="N67" i="10"/>
  <c r="O67" i="10"/>
  <c r="N25" i="10" l="1"/>
  <c r="I10" i="10" l="1"/>
  <c r="O52" i="10" l="1"/>
  <c r="N52" i="10"/>
  <c r="O43" i="10"/>
  <c r="N43" i="10"/>
  <c r="O66" i="10"/>
  <c r="N66" i="10"/>
  <c r="O63" i="10"/>
  <c r="R63" i="10" s="1"/>
  <c r="O53" i="10"/>
  <c r="N53" i="10"/>
  <c r="O44" i="10"/>
  <c r="N44" i="10"/>
  <c r="O25" i="10"/>
  <c r="O11" i="10"/>
  <c r="N11" i="10"/>
  <c r="O96" i="10"/>
  <c r="O95" i="10" s="1"/>
  <c r="O94" i="10" s="1"/>
  <c r="N96" i="10"/>
  <c r="N95" i="10" s="1"/>
  <c r="N94" i="10" s="1"/>
  <c r="M96" i="10"/>
  <c r="M95" i="10" s="1"/>
  <c r="M94" i="10" s="1"/>
  <c r="O75" i="10"/>
  <c r="R75" i="10"/>
  <c r="R74" i="10" s="1"/>
  <c r="R73" i="10" s="1"/>
  <c r="N71" i="10"/>
  <c r="M71" i="10"/>
  <c r="N48" i="10"/>
  <c r="R48" i="10" s="1"/>
  <c r="R46" i="10" s="1"/>
  <c r="R45" i="10" s="1"/>
  <c r="O22" i="10"/>
  <c r="O21" i="10" s="1"/>
  <c r="N22" i="10"/>
  <c r="N21" i="10" s="1"/>
  <c r="M21" i="10"/>
  <c r="O24" i="10"/>
  <c r="N24" i="10"/>
  <c r="M24" i="10"/>
  <c r="O59" i="10" l="1"/>
  <c r="N59" i="10"/>
  <c r="O57" i="10"/>
  <c r="N57" i="10"/>
  <c r="N56" i="10"/>
  <c r="M57" i="10"/>
  <c r="O56" i="10"/>
  <c r="O54" i="10" l="1"/>
  <c r="N54" i="10"/>
  <c r="M54" i="10"/>
  <c r="O13" i="10" l="1"/>
  <c r="N13" i="10"/>
  <c r="M13" i="10"/>
  <c r="N74" i="10" l="1"/>
  <c r="N73" i="10" s="1"/>
  <c r="M74" i="10"/>
  <c r="M73" i="10" s="1"/>
  <c r="N65" i="10"/>
  <c r="M65" i="10"/>
  <c r="M62" i="10"/>
  <c r="O58" i="10"/>
  <c r="N58" i="10"/>
  <c r="N55" i="10" s="1"/>
  <c r="M55" i="10"/>
  <c r="N51" i="10"/>
  <c r="O41" i="10"/>
  <c r="O40" i="10" s="1"/>
  <c r="N41" i="10"/>
  <c r="N40" i="10" s="1"/>
  <c r="M23" i="10"/>
  <c r="N12" i="10"/>
  <c r="M7" i="10"/>
  <c r="H107" i="10"/>
  <c r="L105" i="10"/>
  <c r="K105" i="10"/>
  <c r="J106" i="10"/>
  <c r="J105" i="10" s="1"/>
  <c r="I106" i="10"/>
  <c r="I105" i="10" s="1"/>
  <c r="Q4" i="10" s="1"/>
  <c r="G106" i="10"/>
  <c r="O103" i="10"/>
  <c r="O102" i="10" s="1"/>
  <c r="N103" i="10"/>
  <c r="N102" i="10" s="1"/>
  <c r="M103" i="10"/>
  <c r="M102" i="10" s="1"/>
  <c r="L103" i="10"/>
  <c r="L102" i="10" s="1"/>
  <c r="K103" i="10"/>
  <c r="K102" i="10" s="1"/>
  <c r="I103" i="10"/>
  <c r="I102" i="10" s="1"/>
  <c r="F19" i="11" s="1"/>
  <c r="H103" i="10"/>
  <c r="H102" i="10" s="1"/>
  <c r="D19" i="11" s="1"/>
  <c r="G103" i="10"/>
  <c r="G102" i="10" s="1"/>
  <c r="O100" i="10"/>
  <c r="O99" i="10" s="1"/>
  <c r="N100" i="10"/>
  <c r="N99" i="10" s="1"/>
  <c r="M100" i="10"/>
  <c r="M99" i="10" s="1"/>
  <c r="L100" i="10"/>
  <c r="L99" i="10" s="1"/>
  <c r="K100" i="10"/>
  <c r="K99" i="10" s="1"/>
  <c r="I100" i="10"/>
  <c r="I99" i="10" s="1"/>
  <c r="F20" i="11" s="1"/>
  <c r="E20" i="11" s="1"/>
  <c r="H100" i="10"/>
  <c r="H99" i="10" s="1"/>
  <c r="G100" i="10"/>
  <c r="G99" i="10" s="1"/>
  <c r="D20" i="11" s="1"/>
  <c r="I96" i="10"/>
  <c r="I93" i="10"/>
  <c r="I92" i="10" s="1"/>
  <c r="O92" i="10"/>
  <c r="N92" i="10"/>
  <c r="M92" i="10"/>
  <c r="L92" i="10"/>
  <c r="K92" i="10"/>
  <c r="J92" i="10"/>
  <c r="I90" i="10"/>
  <c r="G90" i="10" s="1"/>
  <c r="R90" i="10" s="1"/>
  <c r="I89" i="10"/>
  <c r="I88" i="10" s="1"/>
  <c r="I87" i="10"/>
  <c r="I86" i="10" s="1"/>
  <c r="H77" i="10"/>
  <c r="I82" i="10"/>
  <c r="G82" i="10" s="1"/>
  <c r="I81" i="10"/>
  <c r="G81" i="10" s="1"/>
  <c r="I80" i="10"/>
  <c r="G80" i="10" s="1"/>
  <c r="R80" i="10" s="1"/>
  <c r="I79" i="10"/>
  <c r="O74" i="10"/>
  <c r="O73" i="10" s="1"/>
  <c r="L74" i="10"/>
  <c r="L73" i="10" s="1"/>
  <c r="K74" i="10"/>
  <c r="K73" i="10" s="1"/>
  <c r="J74" i="10"/>
  <c r="J73" i="10" s="1"/>
  <c r="I74" i="10"/>
  <c r="I73" i="10" s="1"/>
  <c r="F12" i="11" s="1"/>
  <c r="E12" i="11" s="1"/>
  <c r="H74" i="10"/>
  <c r="H73" i="10" s="1"/>
  <c r="D12" i="11" s="1"/>
  <c r="G74" i="10"/>
  <c r="G73" i="10" s="1"/>
  <c r="I71" i="10"/>
  <c r="I70" i="10"/>
  <c r="O69" i="10"/>
  <c r="N69" i="10"/>
  <c r="M69" i="10"/>
  <c r="L69" i="10"/>
  <c r="K69" i="10"/>
  <c r="J69" i="10"/>
  <c r="I68" i="10"/>
  <c r="G68" i="10" s="1"/>
  <c r="R68" i="10" s="1"/>
  <c r="I67" i="10"/>
  <c r="G67" i="10" s="1"/>
  <c r="R67" i="10" s="1"/>
  <c r="I66" i="10"/>
  <c r="L65" i="10"/>
  <c r="K65" i="10"/>
  <c r="J65" i="10"/>
  <c r="H65" i="10"/>
  <c r="I64" i="10"/>
  <c r="G64" i="10" s="1"/>
  <c r="R64" i="10" s="1"/>
  <c r="R62" i="10" s="1"/>
  <c r="L62" i="10"/>
  <c r="K62" i="10"/>
  <c r="J62" i="10"/>
  <c r="H62" i="10"/>
  <c r="I61" i="10"/>
  <c r="I59" i="10"/>
  <c r="G59" i="10" s="1"/>
  <c r="R59" i="10" s="1"/>
  <c r="I58" i="10"/>
  <c r="G58" i="10" s="1"/>
  <c r="R58" i="10" s="1"/>
  <c r="I57" i="10"/>
  <c r="G57" i="10" s="1"/>
  <c r="R57" i="10" s="1"/>
  <c r="I56" i="10"/>
  <c r="G56" i="10" s="1"/>
  <c r="R56" i="10" s="1"/>
  <c r="L55" i="10"/>
  <c r="K55" i="10"/>
  <c r="J55" i="10"/>
  <c r="H55" i="10"/>
  <c r="I54" i="10"/>
  <c r="G54" i="10" s="1"/>
  <c r="R54" i="10" s="1"/>
  <c r="I53" i="10"/>
  <c r="G53" i="10" s="1"/>
  <c r="R53" i="10" s="1"/>
  <c r="I52" i="10"/>
  <c r="G52" i="10" s="1"/>
  <c r="R52" i="10" s="1"/>
  <c r="M51" i="10"/>
  <c r="L51" i="10"/>
  <c r="K51" i="10"/>
  <c r="J51" i="10"/>
  <c r="H51" i="10"/>
  <c r="O46" i="10"/>
  <c r="O45" i="10" s="1"/>
  <c r="N46" i="10"/>
  <c r="N45" i="10" s="1"/>
  <c r="M46" i="10"/>
  <c r="M45" i="10" s="1"/>
  <c r="L46" i="10"/>
  <c r="L45" i="10" s="1"/>
  <c r="K46" i="10"/>
  <c r="K45" i="10" s="1"/>
  <c r="J46" i="10"/>
  <c r="J45" i="10" s="1"/>
  <c r="I46" i="10"/>
  <c r="I45" i="10" s="1"/>
  <c r="F8" i="11" s="1"/>
  <c r="E8" i="11" s="1"/>
  <c r="H46" i="10"/>
  <c r="G46" i="10"/>
  <c r="G45" i="10" s="1"/>
  <c r="I44" i="10"/>
  <c r="G44" i="10" s="1"/>
  <c r="R44" i="10" s="1"/>
  <c r="I43" i="10"/>
  <c r="G43" i="10" s="1"/>
  <c r="R43" i="10" s="1"/>
  <c r="M41" i="10"/>
  <c r="M40" i="10" s="1"/>
  <c r="L41" i="10"/>
  <c r="L40" i="10" s="1"/>
  <c r="K41" i="10"/>
  <c r="K40" i="10" s="1"/>
  <c r="J41" i="10"/>
  <c r="J40" i="10" s="1"/>
  <c r="H41" i="10"/>
  <c r="I25" i="10"/>
  <c r="G25" i="10" s="1"/>
  <c r="R25" i="10" s="1"/>
  <c r="I24" i="10"/>
  <c r="O23" i="10"/>
  <c r="N23" i="10"/>
  <c r="L23" i="10"/>
  <c r="K23" i="10"/>
  <c r="J23" i="10"/>
  <c r="I22" i="10"/>
  <c r="I21" i="10" s="1"/>
  <c r="I20" i="10"/>
  <c r="G20" i="10" s="1"/>
  <c r="R20" i="10" s="1"/>
  <c r="I19" i="10"/>
  <c r="I18" i="10" s="1"/>
  <c r="I13" i="10"/>
  <c r="G13" i="10" s="1"/>
  <c r="R13" i="10" s="1"/>
  <c r="I12" i="10"/>
  <c r="G12" i="10" s="1"/>
  <c r="R12" i="10" s="1"/>
  <c r="I11" i="10"/>
  <c r="G11" i="10" s="1"/>
  <c r="R11" i="10" s="1"/>
  <c r="G10" i="10"/>
  <c r="R10" i="10" s="1"/>
  <c r="I9" i="10"/>
  <c r="G9" i="10" s="1"/>
  <c r="R9" i="10" s="1"/>
  <c r="I8" i="10"/>
  <c r="L7" i="10"/>
  <c r="K7" i="10"/>
  <c r="J7" i="10"/>
  <c r="I78" i="10" l="1"/>
  <c r="R51" i="10"/>
  <c r="R41" i="10"/>
  <c r="R40" i="10" s="1"/>
  <c r="J103" i="10"/>
  <c r="J102" i="10" s="1"/>
  <c r="J100" i="10" s="1"/>
  <c r="J99" i="10" s="1"/>
  <c r="J98" i="10" s="1"/>
  <c r="R105" i="10"/>
  <c r="R55" i="10"/>
  <c r="G61" i="10"/>
  <c r="I60" i="10"/>
  <c r="R82" i="10"/>
  <c r="H45" i="10"/>
  <c r="D8" i="11" s="1"/>
  <c r="H8" i="11" s="1"/>
  <c r="H12" i="11"/>
  <c r="J12" i="11" s="1"/>
  <c r="G8" i="10"/>
  <c r="R8" i="10" s="1"/>
  <c r="H40" i="10"/>
  <c r="D7" i="11" s="1"/>
  <c r="H20" i="11"/>
  <c r="J20" i="11" s="1"/>
  <c r="E19" i="11"/>
  <c r="F21" i="11"/>
  <c r="D21" i="11"/>
  <c r="G70" i="10"/>
  <c r="R70" i="10" s="1"/>
  <c r="I69" i="10"/>
  <c r="G24" i="10"/>
  <c r="I23" i="10"/>
  <c r="N77" i="10"/>
  <c r="G79" i="10"/>
  <c r="G96" i="10"/>
  <c r="I95" i="10"/>
  <c r="I94" i="10" s="1"/>
  <c r="D14" i="11"/>
  <c r="K77" i="10"/>
  <c r="L77" i="10"/>
  <c r="J77" i="10"/>
  <c r="M77" i="10"/>
  <c r="H106" i="10"/>
  <c r="H108" i="10"/>
  <c r="L98" i="10"/>
  <c r="G93" i="10"/>
  <c r="N98" i="10"/>
  <c r="G41" i="10"/>
  <c r="G40" i="10" s="1"/>
  <c r="O98" i="10"/>
  <c r="I98" i="10"/>
  <c r="G19" i="10"/>
  <c r="K98" i="10"/>
  <c r="J50" i="10"/>
  <c r="J49" i="10" s="1"/>
  <c r="H98" i="10"/>
  <c r="D15" i="11"/>
  <c r="G22" i="10"/>
  <c r="G62" i="10"/>
  <c r="G89" i="10"/>
  <c r="H6" i="10"/>
  <c r="J6" i="10"/>
  <c r="J5" i="10" s="1"/>
  <c r="M98" i="10"/>
  <c r="G87" i="10"/>
  <c r="G98" i="10"/>
  <c r="G71" i="10"/>
  <c r="R71" i="10" s="1"/>
  <c r="I65" i="10"/>
  <c r="G66" i="10"/>
  <c r="G51" i="10"/>
  <c r="I51" i="10"/>
  <c r="O65" i="10"/>
  <c r="O62" i="10"/>
  <c r="N62" i="10"/>
  <c r="N50" i="10" s="1"/>
  <c r="N49" i="10" s="1"/>
  <c r="K50" i="10"/>
  <c r="K49" i="10" s="1"/>
  <c r="O55" i="10"/>
  <c r="L50" i="10"/>
  <c r="L49" i="10" s="1"/>
  <c r="O51" i="10"/>
  <c r="M50" i="10"/>
  <c r="M49" i="10" s="1"/>
  <c r="N7" i="10"/>
  <c r="N6" i="10" s="1"/>
  <c r="N5" i="10" s="1"/>
  <c r="O7" i="10"/>
  <c r="O6" i="10" s="1"/>
  <c r="O5" i="10" s="1"/>
  <c r="L6" i="10"/>
  <c r="L5" i="10" s="1"/>
  <c r="K6" i="10"/>
  <c r="K5" i="10" s="1"/>
  <c r="I41" i="10"/>
  <c r="I40" i="10" s="1"/>
  <c r="F7" i="11" s="1"/>
  <c r="G55" i="10"/>
  <c r="M6" i="10"/>
  <c r="M5" i="10" s="1"/>
  <c r="I14" i="10"/>
  <c r="I7" i="10" s="1"/>
  <c r="H50" i="10"/>
  <c r="I55" i="10"/>
  <c r="I62" i="10"/>
  <c r="G86" i="10" l="1"/>
  <c r="R87" i="10"/>
  <c r="R86" i="10" s="1"/>
  <c r="R69" i="10"/>
  <c r="G21" i="10"/>
  <c r="R22" i="10"/>
  <c r="R21" i="10" s="1"/>
  <c r="G23" i="10"/>
  <c r="R24" i="10"/>
  <c r="R23" i="10" s="1"/>
  <c r="O78" i="10"/>
  <c r="O77" i="10" s="1"/>
  <c r="O76" i="10" s="1"/>
  <c r="G92" i="10"/>
  <c r="R93" i="10"/>
  <c r="R92" i="10" s="1"/>
  <c r="G88" i="10"/>
  <c r="R89" i="10"/>
  <c r="R88" i="10" s="1"/>
  <c r="G65" i="10"/>
  <c r="R66" i="10"/>
  <c r="R65" i="10" s="1"/>
  <c r="G60" i="10"/>
  <c r="R61" i="10"/>
  <c r="R60" i="10" s="1"/>
  <c r="G18" i="10"/>
  <c r="R19" i="10"/>
  <c r="R18" i="10" s="1"/>
  <c r="G95" i="10"/>
  <c r="G94" i="10" s="1"/>
  <c r="R96" i="10"/>
  <c r="R95" i="10" s="1"/>
  <c r="R94" i="10" s="1"/>
  <c r="R81" i="10"/>
  <c r="G78" i="10"/>
  <c r="R79" i="10"/>
  <c r="I77" i="10"/>
  <c r="F14" i="11" s="1"/>
  <c r="D16" i="11"/>
  <c r="E7" i="11"/>
  <c r="H7" i="11" s="1"/>
  <c r="J7" i="11" s="1"/>
  <c r="H19" i="11"/>
  <c r="H21" i="11" s="1"/>
  <c r="E21" i="11"/>
  <c r="H49" i="10"/>
  <c r="D10" i="11"/>
  <c r="G69" i="10"/>
  <c r="D5" i="11"/>
  <c r="J8" i="11"/>
  <c r="H76" i="10"/>
  <c r="J76" i="10"/>
  <c r="L76" i="10"/>
  <c r="F15" i="11"/>
  <c r="E15" i="11" s="1"/>
  <c r="H15" i="11" s="1"/>
  <c r="J15" i="11" s="1"/>
  <c r="N76" i="10"/>
  <c r="M76" i="10"/>
  <c r="K76" i="10"/>
  <c r="I6" i="10"/>
  <c r="O50" i="10"/>
  <c r="O49" i="10" s="1"/>
  <c r="G14" i="10"/>
  <c r="I50" i="10"/>
  <c r="R78" i="10" l="1"/>
  <c r="R50" i="10"/>
  <c r="R49" i="10" s="1"/>
  <c r="G50" i="10"/>
  <c r="G49" i="10" s="1"/>
  <c r="G7" i="10"/>
  <c r="R14" i="10"/>
  <c r="R7" i="10" s="1"/>
  <c r="R6" i="10" s="1"/>
  <c r="R5" i="10" s="1"/>
  <c r="G77" i="10"/>
  <c r="G76" i="10" s="1"/>
  <c r="R77" i="10"/>
  <c r="R76" i="10" s="1"/>
  <c r="P77" i="10"/>
  <c r="P76" i="10" s="1"/>
  <c r="P4" i="10" s="1"/>
  <c r="D13" i="11"/>
  <c r="I49" i="10"/>
  <c r="F10" i="11"/>
  <c r="E14" i="11"/>
  <c r="F16" i="11"/>
  <c r="G6" i="10"/>
  <c r="F5" i="11"/>
  <c r="K4" i="10"/>
  <c r="L4" i="10"/>
  <c r="J4" i="10"/>
  <c r="I76" i="10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L24" i="1" s="1"/>
  <c r="M24" i="1" s="1"/>
  <c r="O25" i="1"/>
  <c r="P25" i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M50" i="1" s="1"/>
  <c r="AE50" i="1"/>
  <c r="O51" i="1"/>
  <c r="K51" i="1" s="1"/>
  <c r="L51" i="1" s="1"/>
  <c r="K52" i="1"/>
  <c r="O53" i="1"/>
  <c r="K53" i="1"/>
  <c r="L53" i="1" s="1"/>
  <c r="M53" i="1" s="1"/>
  <c r="K54" i="1"/>
  <c r="L54" i="1" s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N48" i="1" s="1"/>
  <c r="O62" i="1"/>
  <c r="P62" i="1"/>
  <c r="Q62" i="1"/>
  <c r="R62" i="1"/>
  <c r="S62" i="1"/>
  <c r="L63" i="1"/>
  <c r="M63" i="1" s="1"/>
  <c r="O64" i="1"/>
  <c r="K64" i="1" s="1"/>
  <c r="L64" i="1" s="1"/>
  <c r="L65" i="1"/>
  <c r="M65" i="1" s="1"/>
  <c r="P66" i="1"/>
  <c r="K66" i="1" s="1"/>
  <c r="L67" i="1"/>
  <c r="N69" i="1"/>
  <c r="Q69" i="1"/>
  <c r="R69" i="1"/>
  <c r="S69" i="1"/>
  <c r="O70" i="1"/>
  <c r="P70" i="1"/>
  <c r="P69" i="1" s="1"/>
  <c r="K71" i="1"/>
  <c r="L73" i="1"/>
  <c r="M73" i="1"/>
  <c r="N74" i="1"/>
  <c r="O74" i="1"/>
  <c r="K75" i="1"/>
  <c r="N77" i="1"/>
  <c r="O77" i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/>
  <c r="K88" i="1"/>
  <c r="K89" i="1"/>
  <c r="L89" i="1" s="1"/>
  <c r="N90" i="1"/>
  <c r="O90" i="1"/>
  <c r="P90" i="1"/>
  <c r="Q90" i="1"/>
  <c r="R90" i="1"/>
  <c r="S90" i="1"/>
  <c r="K91" i="1"/>
  <c r="L91" i="1" s="1"/>
  <c r="O92" i="1"/>
  <c r="Q92" i="1" s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Q109" i="1" s="1"/>
  <c r="R110" i="1"/>
  <c r="R109" i="1" s="1"/>
  <c r="S110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Q112" i="1"/>
  <c r="R112" i="1"/>
  <c r="S112" i="1"/>
  <c r="L113" i="1"/>
  <c r="L112" i="1" s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 s="1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9" i="3"/>
  <c r="J58" i="3"/>
  <c r="M59" i="3"/>
  <c r="M58" i="3" s="1"/>
  <c r="N59" i="3"/>
  <c r="N58" i="3" s="1"/>
  <c r="O59" i="3"/>
  <c r="O58" i="3"/>
  <c r="P59" i="3"/>
  <c r="P58" i="3" s="1"/>
  <c r="Q59" i="3"/>
  <c r="Q58" i="3" s="1"/>
  <c r="R59" i="3"/>
  <c r="R58" i="3" s="1"/>
  <c r="K60" i="3"/>
  <c r="K59" i="3" s="1"/>
  <c r="K58" i="3" s="1"/>
  <c r="K62" i="3"/>
  <c r="K55" i="3"/>
  <c r="J64" i="3"/>
  <c r="M64" i="3"/>
  <c r="N64" i="3"/>
  <c r="O64" i="3"/>
  <c r="P64" i="3"/>
  <c r="Q64" i="3"/>
  <c r="R64" i="3"/>
  <c r="K65" i="3"/>
  <c r="K64" i="3" s="1"/>
  <c r="L65" i="3"/>
  <c r="K67" i="3"/>
  <c r="L67" i="3"/>
  <c r="J69" i="3"/>
  <c r="M69" i="3"/>
  <c r="N69" i="3"/>
  <c r="O69" i="3"/>
  <c r="P69" i="3"/>
  <c r="Q69" i="3"/>
  <c r="R69" i="3"/>
  <c r="K70" i="3"/>
  <c r="J71" i="3"/>
  <c r="M71" i="3"/>
  <c r="N71" i="3"/>
  <c r="O71" i="3"/>
  <c r="P71" i="3"/>
  <c r="Q71" i="3"/>
  <c r="R71" i="3"/>
  <c r="K72" i="3"/>
  <c r="L72" i="3" s="1"/>
  <c r="K74" i="3"/>
  <c r="K76" i="3"/>
  <c r="L76" i="3" s="1"/>
  <c r="K78" i="3"/>
  <c r="L78" i="3" s="1"/>
  <c r="J82" i="3"/>
  <c r="M82" i="3"/>
  <c r="N82" i="3"/>
  <c r="O82" i="3"/>
  <c r="O63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P89" i="3" s="1"/>
  <c r="Q90" i="3"/>
  <c r="R90" i="3"/>
  <c r="Q94" i="3"/>
  <c r="R94" i="3"/>
  <c r="K95" i="3"/>
  <c r="J97" i="3"/>
  <c r="J94" i="3" s="1"/>
  <c r="K97" i="3"/>
  <c r="L97" i="3" s="1"/>
  <c r="M97" i="3"/>
  <c r="M94" i="3" s="1"/>
  <c r="N97" i="3"/>
  <c r="N94" i="3"/>
  <c r="O97" i="3"/>
  <c r="O94" i="3" s="1"/>
  <c r="P97" i="3"/>
  <c r="P94" i="3" s="1"/>
  <c r="J99" i="3"/>
  <c r="M99" i="3"/>
  <c r="N99" i="3"/>
  <c r="O99" i="3"/>
  <c r="P99" i="3"/>
  <c r="Q99" i="3"/>
  <c r="R99" i="3"/>
  <c r="K100" i="3"/>
  <c r="L100" i="3" s="1"/>
  <c r="L99" i="3" s="1"/>
  <c r="K99" i="3"/>
  <c r="L36" i="3"/>
  <c r="L35" i="3" s="1"/>
  <c r="L55" i="1"/>
  <c r="M55" i="1" s="1"/>
  <c r="M107" i="1"/>
  <c r="L86" i="1"/>
  <c r="M86" i="1" s="1"/>
  <c r="L71" i="1"/>
  <c r="M71" i="1" s="1"/>
  <c r="M43" i="1"/>
  <c r="M42" i="1" s="1"/>
  <c r="L42" i="1"/>
  <c r="K97" i="1"/>
  <c r="L98" i="1"/>
  <c r="L97" i="1"/>
  <c r="K2" i="3"/>
  <c r="L78" i="1"/>
  <c r="M78" i="1"/>
  <c r="M67" i="1"/>
  <c r="K69" i="3"/>
  <c r="L70" i="3"/>
  <c r="L69" i="3"/>
  <c r="L62" i="3"/>
  <c r="J62" i="3" s="1"/>
  <c r="K19" i="1"/>
  <c r="M37" i="1"/>
  <c r="M36" i="1"/>
  <c r="L88" i="1"/>
  <c r="M88" i="1" s="1"/>
  <c r="M98" i="1"/>
  <c r="M97" i="1"/>
  <c r="M34" i="1"/>
  <c r="Q5" i="1"/>
  <c r="L26" i="3"/>
  <c r="L25" i="3" s="1"/>
  <c r="R4" i="10" l="1"/>
  <c r="E5" i="11"/>
  <c r="E10" i="11"/>
  <c r="F13" i="11"/>
  <c r="E16" i="11"/>
  <c r="H14" i="11"/>
  <c r="M113" i="1"/>
  <c r="M112" i="1" s="1"/>
  <c r="M109" i="1" s="1"/>
  <c r="K94" i="3"/>
  <c r="K89" i="3" s="1"/>
  <c r="O109" i="1"/>
  <c r="M63" i="3"/>
  <c r="M89" i="3"/>
  <c r="M56" i="3" s="1"/>
  <c r="J89" i="3"/>
  <c r="M64" i="1"/>
  <c r="O76" i="1"/>
  <c r="L31" i="1"/>
  <c r="R48" i="1"/>
  <c r="J55" i="3"/>
  <c r="J2" i="3" s="1"/>
  <c r="Q76" i="1"/>
  <c r="M32" i="1"/>
  <c r="M31" i="1" s="1"/>
  <c r="R63" i="3"/>
  <c r="M51" i="1"/>
  <c r="L64" i="3"/>
  <c r="K35" i="3"/>
  <c r="L100" i="1"/>
  <c r="M60" i="1"/>
  <c r="M59" i="1" s="1"/>
  <c r="P19" i="1"/>
  <c r="M95" i="1"/>
  <c r="N89" i="3"/>
  <c r="K29" i="3"/>
  <c r="K100" i="1"/>
  <c r="N63" i="3"/>
  <c r="N56" i="3" s="1"/>
  <c r="R76" i="1"/>
  <c r="L29" i="3"/>
  <c r="S109" i="1"/>
  <c r="K41" i="1"/>
  <c r="L41" i="1" s="1"/>
  <c r="M41" i="1" s="1"/>
  <c r="M89" i="1"/>
  <c r="P63" i="3"/>
  <c r="P56" i="3" s="1"/>
  <c r="P3" i="3" s="1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L62" i="1"/>
  <c r="S5" i="1"/>
  <c r="S48" i="1"/>
  <c r="Q48" i="1"/>
  <c r="R5" i="1"/>
  <c r="R3" i="1" s="1"/>
  <c r="Q63" i="3"/>
  <c r="M62" i="1"/>
  <c r="J7" i="3"/>
  <c r="J5" i="3" s="1"/>
  <c r="J3" i="3" s="1"/>
  <c r="S2" i="3" s="1"/>
  <c r="M83" i="1"/>
  <c r="K104" i="1"/>
  <c r="L83" i="3"/>
  <c r="L82" i="3" s="1"/>
  <c r="Q7" i="3"/>
  <c r="Q5" i="3" s="1"/>
  <c r="N109" i="1"/>
  <c r="R56" i="3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O3" i="3" s="1"/>
  <c r="S76" i="1"/>
  <c r="M3" i="3"/>
  <c r="L94" i="1"/>
  <c r="M94" i="1" s="1"/>
  <c r="N7" i="3"/>
  <c r="N5" i="3" s="1"/>
  <c r="K90" i="1"/>
  <c r="L19" i="1"/>
  <c r="M99" i="1"/>
  <c r="R7" i="3"/>
  <c r="R5" i="3" s="1"/>
  <c r="P76" i="1"/>
  <c r="L82" i="1"/>
  <c r="L77" i="1" s="1"/>
  <c r="K77" i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O48" i="1" s="1"/>
  <c r="K70" i="1"/>
  <c r="L66" i="1"/>
  <c r="M66" i="1" s="1"/>
  <c r="K40" i="3"/>
  <c r="L41" i="3"/>
  <c r="L40" i="3" s="1"/>
  <c r="L2" i="1"/>
  <c r="K47" i="1"/>
  <c r="L79" i="1"/>
  <c r="M79" i="1" s="1"/>
  <c r="P6" i="1"/>
  <c r="L55" i="3"/>
  <c r="P30" i="1"/>
  <c r="E13" i="11" l="1"/>
  <c r="H10" i="11"/>
  <c r="H16" i="11"/>
  <c r="I16" i="11" s="1"/>
  <c r="J14" i="11"/>
  <c r="H5" i="11"/>
  <c r="Q3" i="3"/>
  <c r="M81" i="1"/>
  <c r="Q3" i="1"/>
  <c r="P5" i="1"/>
  <c r="P3" i="1" s="1"/>
  <c r="K76" i="1"/>
  <c r="AE75" i="1" s="1"/>
  <c r="L76" i="1"/>
  <c r="AF75" i="1" s="1"/>
  <c r="L63" i="3"/>
  <c r="L56" i="3" s="1"/>
  <c r="S3" i="1"/>
  <c r="L2" i="3"/>
  <c r="R3" i="3"/>
  <c r="L6" i="1"/>
  <c r="L5" i="1" s="1"/>
  <c r="AF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K3" i="1" s="1"/>
  <c r="M70" i="1"/>
  <c r="M69" i="1" s="1"/>
  <c r="O3" i="1"/>
  <c r="M6" i="1"/>
  <c r="M5" i="1" s="1"/>
  <c r="N3" i="3"/>
  <c r="H13" i="11" l="1"/>
  <c r="I13" i="11" s="1"/>
  <c r="J10" i="11"/>
  <c r="J5" i="11"/>
  <c r="M48" i="1"/>
  <c r="L3" i="3"/>
  <c r="L3" i="1"/>
  <c r="AF3" i="1" s="1"/>
  <c r="M3" i="1"/>
  <c r="AE47" i="1"/>
  <c r="AE3" i="1"/>
  <c r="T4" i="3"/>
  <c r="K3" i="3"/>
  <c r="T2" i="3" s="1"/>
  <c r="O4" i="10" l="1"/>
  <c r="M4" i="10"/>
  <c r="N4" i="10"/>
  <c r="G27" i="10" l="1"/>
  <c r="G5" i="10" s="1"/>
  <c r="G4" i="10" l="1"/>
  <c r="H27" i="10"/>
  <c r="D6" i="11" s="1"/>
  <c r="D9" i="11" l="1"/>
  <c r="H5" i="10"/>
  <c r="H4" i="10" s="1"/>
  <c r="D23" i="11" l="1"/>
  <c r="D26" i="11" l="1"/>
  <c r="F6" i="11"/>
  <c r="I5" i="10"/>
  <c r="I4" i="10" s="1"/>
  <c r="E6" i="11" l="1"/>
  <c r="F9" i="11"/>
  <c r="F23" i="11" s="1"/>
  <c r="E9" i="11" l="1"/>
  <c r="E23" i="11" s="1"/>
  <c r="H24" i="11" s="1"/>
  <c r="H6" i="11"/>
  <c r="H9" i="11" l="1"/>
  <c r="J6" i="11"/>
  <c r="H23" i="11" l="1"/>
  <c r="I23" i="11" s="1"/>
  <c r="I9" i="11"/>
  <c r="J27" i="10" l="1"/>
  <c r="N27" i="10"/>
  <c r="L27" i="10"/>
  <c r="M27" i="10"/>
  <c r="R27" i="10"/>
  <c r="K27" i="10"/>
</calcChain>
</file>

<file path=xl/sharedStrings.xml><?xml version="1.0" encoding="utf-8"?>
<sst xmlns="http://schemas.openxmlformats.org/spreadsheetml/2006/main" count="2301" uniqueCount="1071">
  <si>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</si>
  <si>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</si>
  <si>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</si>
  <si>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</si>
  <si>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</si>
  <si>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</si>
  <si>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</si>
  <si>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</si>
  <si>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</si>
  <si>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</si>
  <si>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</si>
  <si>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</si>
  <si>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</si>
  <si>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</si>
  <si>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</si>
  <si>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</si>
  <si>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</si>
  <si>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</si>
  <si>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</si>
  <si>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</si>
  <si>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</si>
  <si>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</si>
  <si>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</si>
  <si>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</si>
  <si>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</si>
  <si>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</si>
  <si>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</si>
  <si>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</si>
  <si>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</si>
  <si>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</si>
  <si>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</si>
  <si>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</si>
  <si>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</si>
  <si>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</si>
  <si>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</si>
  <si>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</si>
  <si>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</si>
  <si>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</si>
  <si>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</si>
  <si>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</si>
  <si>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</si>
  <si>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</si>
  <si>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</si>
  <si>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</si>
  <si>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</si>
  <si>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</si>
  <si>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</si>
  <si>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</si>
  <si>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</si>
  <si>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</si>
  <si>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</si>
  <si>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</si>
  <si>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</si>
  <si>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</si>
  <si>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</si>
  <si>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</si>
  <si>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</si>
  <si>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</si>
  <si>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</si>
  <si>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</si>
  <si>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</si>
  <si>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</si>
  <si>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</si>
  <si>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</si>
  <si>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</si>
  <si>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</si>
  <si>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</si>
  <si>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</si>
  <si>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</si>
  <si>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</si>
  <si>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</si>
  <si>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</si>
  <si>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</si>
  <si>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</si>
  <si>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</si>
  <si>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</si>
  <si>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</si>
  <si>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</si>
  <si>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</si>
  <si>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</si>
  <si>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</si>
  <si>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</si>
  <si>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</si>
  <si>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</si>
  <si>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</si>
  <si>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</si>
  <si>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</si>
  <si>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</si>
  <si>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</si>
  <si>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</si>
  <si>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</si>
  <si>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</si>
  <si>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</si>
  <si>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</si>
  <si>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</si>
  <si>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</si>
  <si>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</si>
  <si>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</si>
  <si>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</si>
  <si>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</si>
  <si>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</si>
  <si>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</si>
  <si>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</si>
  <si>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</si>
  <si>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</si>
  <si>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</si>
  <si>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</si>
  <si>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</si>
  <si>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</si>
  <si>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</si>
  <si>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</si>
  <si>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</si>
  <si>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</si>
  <si>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</si>
  <si>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</si>
  <si>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</si>
  <si>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</si>
  <si>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</si>
  <si>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</si>
  <si>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</si>
  <si>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</si>
  <si>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</si>
  <si>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</si>
  <si>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</si>
  <si>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</si>
  <si>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</si>
  <si>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</si>
  <si>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</si>
  <si>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</si>
  <si>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</si>
  <si>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</si>
  <si>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</si>
  <si>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</si>
  <si>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</si>
  <si>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</si>
  <si>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</si>
  <si>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</si>
  <si>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</si>
  <si>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</si>
  <si>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</si>
  <si>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</si>
  <si>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</si>
  <si>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</si>
  <si>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</si>
  <si>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</si>
  <si>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</si>
  <si>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</si>
  <si>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</si>
  <si>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</si>
  <si>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</si>
  <si>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</si>
  <si>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</si>
  <si>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</si>
  <si>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</si>
  <si>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</si>
  <si>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</si>
  <si>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</si>
  <si>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</si>
  <si>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</si>
  <si>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</si>
  <si>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</si>
  <si>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</si>
  <si>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</si>
  <si>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</si>
  <si>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</si>
  <si>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</si>
  <si>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</si>
  <si>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</si>
  <si>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</si>
  <si>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</si>
  <si>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</si>
  <si>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</si>
  <si>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</si>
  <si>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</si>
  <si>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</si>
  <si>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</si>
  <si>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</si>
  <si>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</si>
  <si>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</si>
  <si>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</si>
  <si>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</si>
  <si>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</si>
  <si>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</si>
  <si>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</si>
  <si>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</si>
  <si>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</si>
  <si>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</si>
  <si>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</si>
  <si>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</si>
  <si>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</si>
  <si>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</si>
  <si>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</si>
  <si>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</si>
  <si>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</si>
  <si>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</si>
  <si>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</si>
  <si>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</si>
  <si>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</si>
  <si>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</si>
  <si>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</si>
  <si>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</si>
  <si>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</si>
  <si>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</si>
  <si>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</si>
  <si>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</si>
  <si>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</si>
  <si>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</si>
  <si>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</si>
  <si>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</si>
  <si>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</si>
  <si>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</si>
  <si>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</si>
  <si>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</si>
  <si>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</si>
  <si>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</si>
  <si>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</si>
  <si>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</si>
  <si>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</si>
  <si>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</si>
  <si>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</si>
  <si>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</si>
  <si>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</si>
  <si>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</si>
  <si>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</si>
  <si>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</si>
  <si>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</si>
  <si>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</si>
  <si>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</si>
  <si>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</si>
  <si>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</si>
  <si>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</si>
  <si>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</si>
  <si>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</si>
  <si>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</si>
  <si>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</si>
  <si>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</si>
  <si>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</si>
  <si>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</si>
  <si>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</si>
  <si>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</si>
  <si>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</si>
  <si>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</si>
  <si>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</si>
  <si>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</si>
  <si>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</si>
  <si>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</si>
  <si>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</si>
  <si>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</si>
  <si>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</si>
  <si>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</si>
  <si>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</si>
  <si>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</si>
  <si>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</si>
  <si>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</si>
  <si>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</si>
  <si>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</si>
  <si>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</si>
  <si>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</si>
  <si>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</si>
  <si>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</si>
  <si>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</si>
  <si>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</si>
  <si>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</si>
  <si>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</si>
  <si>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</si>
  <si>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</si>
  <si>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</si>
  <si>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</si>
  <si>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</si>
  <si>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</si>
  <si>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</si>
  <si>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</si>
  <si>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</si>
  <si>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</si>
  <si>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</si>
  <si>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</si>
  <si>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</si>
  <si>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</si>
  <si>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</si>
  <si>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</si>
  <si>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</si>
  <si>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</si>
  <si>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</si>
  <si>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</si>
  <si>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</si>
  <si>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</si>
  <si>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</si>
  <si>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</si>
  <si>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</si>
  <si>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</si>
  <si>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</si>
  <si>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</si>
  <si>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</si>
  <si>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</si>
  <si>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</si>
  <si>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</si>
  <si>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</si>
  <si>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</si>
  <si>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</si>
  <si>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</si>
  <si>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</si>
  <si>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</si>
  <si>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</si>
  <si>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</si>
  <si>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</si>
  <si>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</si>
  <si>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</si>
  <si>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</si>
  <si>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</si>
  <si>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</si>
  <si>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</si>
  <si>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</si>
  <si>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</si>
  <si>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</si>
  <si>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</si>
  <si>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</si>
  <si>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</si>
  <si>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</si>
  <si>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</si>
  <si>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</si>
  <si>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</si>
  <si>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</si>
  <si>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</si>
  <si>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</si>
  <si>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</si>
  <si>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</si>
  <si>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</si>
  <si>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</si>
  <si>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</si>
  <si>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</si>
  <si>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</si>
  <si>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</si>
  <si>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</si>
  <si>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</si>
  <si>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</si>
  <si>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</si>
  <si>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</si>
  <si>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</si>
  <si>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</si>
  <si>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</si>
  <si>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</si>
  <si>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</si>
  <si>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</si>
  <si>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</si>
  <si>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</si>
  <si>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</si>
  <si>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</si>
  <si>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</si>
  <si>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</si>
  <si>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</si>
  <si>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</si>
  <si>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</si>
  <si>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</si>
  <si>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</si>
  <si>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</si>
  <si>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</si>
  <si>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</si>
  <si>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</si>
  <si>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</si>
  <si>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</si>
  <si>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</si>
  <si>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</si>
  <si>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</si>
  <si>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</si>
  <si>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</si>
  <si>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</si>
  <si>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</si>
  <si>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</si>
  <si>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</si>
  <si>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</si>
  <si>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</si>
  <si>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</si>
  <si>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</si>
  <si>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</si>
  <si>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</si>
  <si>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</si>
  <si>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</si>
  <si>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</si>
  <si>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</si>
  <si>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</si>
  <si>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</si>
  <si>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</si>
  <si>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</si>
  <si>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</si>
  <si>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</si>
  <si>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</si>
  <si>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</si>
  <si>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</si>
  <si>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</si>
  <si>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</si>
  <si>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</si>
  <si>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</si>
  <si>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</si>
  <si>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</si>
  <si>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</si>
  <si>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</si>
  <si>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</si>
  <si>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</si>
  <si>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</si>
  <si>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</si>
  <si>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</si>
  <si>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</si>
  <si>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</si>
  <si>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</si>
  <si>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</si>
  <si>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</si>
  <si>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</si>
  <si>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</si>
  <si>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</si>
  <si>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</si>
  <si>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</si>
  <si>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</si>
  <si>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</si>
  <si>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</si>
  <si>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</si>
  <si>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</si>
  <si>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</si>
  <si>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</si>
  <si>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</si>
  <si>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</si>
  <si>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</si>
  <si>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</si>
  <si>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</si>
  <si>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</si>
  <si>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</si>
  <si>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</si>
  <si>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</si>
  <si>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</si>
  <si>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</si>
  <si>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</si>
  <si>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</si>
  <si>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</si>
  <si>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</si>
  <si>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</si>
  <si>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</si>
  <si>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</si>
  <si>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</si>
  <si>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</si>
  <si>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</si>
  <si>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</si>
  <si>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</si>
  <si>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</si>
  <si>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</si>
  <si>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</si>
  <si>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</si>
  <si>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</si>
  <si>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</si>
  <si>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</si>
  <si>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</si>
  <si>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</si>
  <si>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</si>
  <si>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</si>
  <si>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</si>
  <si>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</si>
  <si>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</si>
  <si>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</si>
  <si>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</si>
  <si>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</si>
  <si>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</si>
  <si>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</si>
  <si>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</si>
  <si>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</si>
  <si>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</si>
  <si>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</si>
  <si>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</si>
  <si>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</si>
  <si>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</si>
  <si>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</si>
  <si>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</si>
  <si>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</si>
  <si>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</si>
  <si>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</si>
  <si>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</si>
  <si>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</si>
  <si>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</si>
  <si>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</si>
  <si>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</si>
  <si>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</si>
  <si>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</si>
  <si>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</si>
  <si>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</si>
  <si>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</si>
  <si>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</si>
  <si>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</si>
  <si>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</si>
  <si>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</si>
  <si>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</si>
  <si>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</si>
  <si>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</si>
  <si>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</si>
  <si>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</si>
  <si>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</si>
  <si>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</si>
  <si>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</si>
  <si>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</si>
  <si>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</si>
  <si>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</si>
  <si>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</si>
  <si>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</si>
  <si>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</si>
  <si>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</si>
  <si>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</si>
  <si>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</si>
  <si>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</si>
  <si>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</si>
  <si>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</si>
  <si>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</si>
  <si>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</si>
  <si>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</si>
  <si>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</si>
  <si>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</si>
  <si>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</si>
  <si>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</si>
  <si>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</si>
  <si>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</si>
  <si>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</si>
  <si>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</si>
  <si>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</si>
  <si>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</si>
  <si>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</si>
  <si>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</si>
  <si>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</si>
  <si>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</si>
  <si>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</si>
  <si>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</si>
  <si>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</si>
  <si>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</si>
  <si>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</si>
  <si>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</si>
  <si>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</si>
  <si>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</si>
  <si>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</si>
  <si>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</si>
  <si>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</si>
  <si>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</si>
  <si>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</si>
  <si>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</si>
  <si>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</si>
  <si>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</si>
  <si>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</si>
  <si>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</si>
  <si>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</si>
  <si>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</si>
  <si>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</si>
  <si>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</si>
  <si>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</si>
  <si>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</si>
  <si>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</si>
  <si>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</si>
  <si>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</si>
  <si>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</si>
  <si>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</si>
  <si>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</si>
  <si>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</si>
  <si>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</si>
  <si>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</si>
  <si>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</si>
  <si>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</si>
  <si>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</si>
  <si>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</si>
  <si>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</si>
  <si>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</si>
  <si>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</si>
  <si>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</si>
  <si>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</si>
  <si>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</si>
  <si>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</si>
  <si>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</si>
  <si>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</si>
  <si>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</si>
  <si>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</si>
  <si>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</si>
  <si>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</si>
  <si>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</si>
  <si>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</si>
  <si>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</si>
  <si>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</si>
  <si>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</si>
  <si>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</si>
  <si>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</si>
  <si>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</si>
  <si>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</si>
  <si>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</si>
  <si>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</si>
  <si>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</si>
  <si>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</si>
  <si>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</si>
  <si>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</si>
  <si>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</si>
  <si>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</si>
  <si>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</si>
  <si>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</si>
  <si>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</si>
  <si>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</si>
  <si>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</si>
  <si>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</si>
  <si>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</si>
  <si>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</si>
  <si>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</si>
  <si>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</si>
  <si>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</si>
  <si>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</si>
  <si>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</si>
  <si>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</si>
  <si>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</si>
  <si>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</si>
  <si>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</si>
  <si>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</si>
  <si>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</si>
  <si>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</si>
  <si>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</si>
  <si>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</si>
  <si>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</si>
  <si>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</si>
  <si>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</si>
  <si>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</si>
  <si>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</si>
  <si>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</si>
  <si>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</si>
  <si>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</si>
  <si>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</si>
  <si>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</si>
  <si>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</si>
  <si>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</si>
  <si>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</si>
  <si>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</si>
  <si>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</si>
  <si>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</si>
  <si>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</si>
  <si>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</si>
  <si>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</si>
  <si>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</si>
  <si>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</si>
  <si>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</si>
  <si>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</si>
  <si>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</si>
  <si>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</si>
  <si>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</si>
  <si>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</si>
  <si>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</si>
  <si>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</si>
  <si>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</si>
  <si>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</si>
  <si>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</si>
  <si>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</si>
  <si>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</si>
  <si>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</si>
  <si>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</si>
  <si>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</si>
  <si>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</si>
  <si>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</si>
  <si>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</si>
  <si>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</si>
  <si>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</si>
  <si>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</si>
  <si>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</si>
  <si>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</si>
  <si>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</si>
  <si>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</si>
  <si>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</si>
  <si>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</si>
  <si>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</si>
  <si>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</si>
  <si>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</si>
  <si>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</si>
  <si>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</si>
  <si>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</si>
  <si>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</si>
  <si>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</si>
  <si>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</si>
  <si>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</si>
  <si>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</si>
  <si>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</si>
  <si>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</si>
  <si>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</si>
  <si>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</si>
  <si>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</si>
  <si>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</si>
  <si>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</si>
  <si>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</si>
  <si>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</si>
  <si>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</si>
  <si>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</si>
  <si>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</si>
  <si>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</si>
  <si>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</si>
  <si>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</si>
  <si>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</si>
  <si>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</si>
  <si>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</si>
  <si>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</si>
  <si>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</si>
  <si>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</si>
  <si>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</si>
  <si>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</si>
  <si>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</si>
  <si>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</si>
  <si>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</si>
  <si>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</si>
  <si>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</si>
  <si>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</si>
  <si>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</si>
  <si>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</si>
  <si>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</si>
  <si>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</si>
  <si>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</si>
  <si>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</si>
  <si>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</si>
  <si>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</si>
  <si>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</si>
  <si>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</si>
  <si>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</si>
  <si>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</si>
  <si>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</si>
  <si>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</si>
  <si>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</si>
  <si>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</si>
  <si>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</si>
  <si>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</si>
  <si>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</si>
  <si>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</si>
  <si>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</si>
  <si>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</si>
  <si>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</si>
  <si>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</si>
  <si>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</si>
  <si>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</si>
  <si>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</si>
  <si>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</si>
  <si>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</si>
  <si>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</si>
  <si>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</si>
  <si>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</si>
  <si>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</si>
  <si>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</si>
  <si>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</si>
  <si>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</si>
  <si>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</si>
  <si>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</si>
  <si>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</si>
  <si>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</si>
  <si>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</si>
  <si>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</si>
  <si>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</si>
  <si>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</si>
  <si>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</si>
  <si>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</si>
  <si>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</si>
  <si>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</si>
  <si>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</si>
  <si>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</si>
  <si>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</si>
  <si>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</si>
  <si>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</si>
  <si>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</si>
  <si>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</si>
  <si>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</si>
  <si>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</si>
  <si>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</si>
  <si>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</si>
  <si>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</si>
  <si>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</si>
  <si>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</si>
  <si>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</si>
  <si>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</si>
  <si>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</si>
  <si>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</si>
  <si>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</si>
  <si>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</si>
  <si>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</si>
  <si>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</si>
  <si>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</si>
  <si>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</si>
  <si>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</si>
  <si>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</si>
  <si>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</si>
  <si>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</si>
  <si>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</si>
  <si>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</si>
  <si>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</si>
  <si>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</si>
  <si>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</si>
  <si>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</si>
  <si>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</si>
  <si>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</si>
  <si>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</si>
  <si>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</si>
  <si>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</si>
  <si>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</si>
  <si>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</si>
  <si>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</si>
  <si>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</si>
  <si>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</si>
  <si>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</si>
  <si>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</si>
  <si>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</si>
  <si>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</si>
  <si>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</si>
  <si>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</si>
  <si>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</si>
  <si>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</si>
  <si>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</si>
  <si>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</si>
  <si>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</si>
  <si>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</si>
  <si>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</si>
  <si>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</si>
  <si>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</si>
  <si>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</si>
  <si>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</si>
  <si>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</si>
  <si>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</si>
  <si>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</si>
  <si>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</si>
  <si>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</si>
  <si>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</si>
  <si>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</si>
  <si>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</si>
  <si>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</si>
  <si>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</si>
  <si>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</si>
  <si>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</si>
  <si>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</si>
  <si>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</si>
  <si>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</si>
  <si>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</si>
  <si>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</si>
  <si>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</si>
  <si>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</si>
  <si>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</si>
  <si>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</si>
  <si>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</si>
  <si>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</si>
  <si>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</si>
  <si>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</si>
  <si>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</si>
  <si>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</si>
  <si>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</si>
  <si>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</si>
  <si>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</si>
  <si>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</si>
  <si>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</si>
  <si>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</si>
  <si>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</si>
  <si>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</si>
  <si>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</si>
  <si>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</si>
  <si>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</si>
  <si>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</si>
  <si>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</si>
  <si>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</si>
  <si>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</si>
  <si>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</si>
  <si>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</si>
  <si>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</si>
  <si>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</si>
  <si>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</si>
  <si>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</si>
  <si>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</si>
  <si>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</si>
  <si>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</si>
  <si>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</si>
  <si>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</si>
  <si>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</si>
  <si>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</si>
  <si>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</si>
  <si>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</si>
  <si>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</si>
  <si>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</si>
  <si>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</si>
  <si>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</si>
  <si>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</si>
  <si>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</si>
  <si>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</si>
  <si>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</si>
  <si>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</si>
  <si>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</si>
  <si>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</si>
  <si>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</si>
  <si>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</si>
  <si>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</si>
  <si>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</si>
  <si>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</si>
  <si>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</si>
  <si>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</si>
  <si>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</si>
  <si>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</si>
  <si>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</si>
  <si>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</si>
  <si>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</si>
  <si>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</si>
  <si>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</si>
  <si>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</si>
  <si>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</si>
  <si>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</si>
  <si>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</si>
  <si>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</si>
  <si>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</si>
  <si>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</si>
  <si>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</si>
  <si>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</si>
  <si>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</si>
  <si>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</si>
  <si>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</si>
  <si>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</si>
  <si>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</si>
  <si>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</si>
  <si>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</si>
  <si>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</si>
  <si>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</si>
  <si>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</si>
  <si>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</si>
  <si>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</si>
  <si>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</si>
  <si>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</si>
  <si>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</si>
  <si>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</si>
  <si>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</si>
  <si>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</si>
  <si>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</si>
  <si>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</si>
  <si>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</si>
  <si>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</si>
  <si>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</si>
  <si>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</si>
  <si>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</si>
  <si>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</si>
  <si>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</si>
  <si>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</si>
  <si>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</si>
  <si>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</si>
  <si>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</si>
  <si>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</si>
  <si>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</si>
  <si>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</si>
  <si>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</si>
  <si>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</si>
  <si>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</si>
  <si>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</si>
  <si>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</si>
  <si>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</si>
  <si>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</si>
  <si>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</si>
  <si>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</si>
  <si>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</si>
  <si>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</si>
  <si>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</si>
  <si>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</si>
  <si>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</si>
  <si>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</si>
  <si>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</si>
  <si>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</si>
  <si>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</si>
  <si>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</si>
  <si>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</si>
  <si>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</si>
  <si>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</si>
  <si>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</si>
  <si>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</si>
  <si>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</si>
  <si>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</si>
  <si>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</si>
  <si>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</si>
  <si>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</si>
  <si>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</si>
  <si>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</si>
  <si>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</si>
  <si>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</si>
  <si>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</si>
  <si>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</si>
  <si>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</si>
  <si>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</si>
  <si>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</si>
  <si>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</si>
  <si>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</si>
  <si>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</si>
  <si>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</si>
  <si>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</si>
  <si>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</si>
  <si>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</si>
  <si>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</si>
  <si>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</si>
  <si>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</si>
  <si>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</si>
  <si>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</si>
  <si>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</si>
  <si>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</si>
  <si>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</si>
  <si>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</si>
  <si>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</si>
  <si>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</si>
  <si>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</si>
  <si>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</si>
  <si>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</si>
  <si>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</si>
  <si>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>AM.SO5.9.4-01</t>
  </si>
  <si>
    <t xml:space="preserve">Tehnična pomoč </t>
  </si>
  <si>
    <t>MNZ</t>
  </si>
  <si>
    <t>Vzpostavitev posebne kapacitete in obravnave za najbolj ranljive posameznike</t>
  </si>
  <si>
    <t>Ukrepi za hitro vključevanje v družbo za prosilce za mednarodno zaščito</t>
  </si>
  <si>
    <t>Vzpostavitev dodatnih integracijskih kapacitet</t>
  </si>
  <si>
    <t>Nadgradnja informacijskega sistema IKT za podporo migracijskim postopkom</t>
  </si>
  <si>
    <t>Vzpostavitev in delovanje neodvisnega nadzornega mehanizma</t>
  </si>
  <si>
    <t>Ocena ranljivosti (med sprejemnim in azilnim postopkom)</t>
  </si>
  <si>
    <t>Otroci v migracijah – podpora v postopku mednarodne zaščite</t>
  </si>
  <si>
    <t>Krepitev pravosodnih zmogljivosti za učinkovito izvajanje Pakta o migracijah in azilu (ang. Strengthening judicial capacity for effective implementation of Pact on Migration and Asylum)</t>
  </si>
  <si>
    <t>MP</t>
  </si>
  <si>
    <t>Namestitev in oskrba prosilcev za mednarodno zaščito</t>
  </si>
  <si>
    <t xml:space="preserve">Ocena starosti – multidisciplinarni postopek </t>
  </si>
  <si>
    <t>Okrepitev struktur za prostovoljno vračanje</t>
  </si>
  <si>
    <t>Alternativne možnosti za pridržanje</t>
  </si>
  <si>
    <t xml:space="preserve">Aktivacija kontingentnega načrta
</t>
  </si>
  <si>
    <t>Tečaji in izpiti iz slovenskega jezika za državljane tretjih držav in osebe z mednarodno zaščito</t>
  </si>
  <si>
    <t>Sodelovanje s tretjimi državami na področju migracij</t>
  </si>
  <si>
    <t>Oprema za spremljevalce prisilnega vračanja in oprema, potrebna za usposabljanje spremljevalcev</t>
  </si>
  <si>
    <t>Stroški osebja, vzdrževanja opreme in prostorov</t>
  </si>
  <si>
    <t>Varuh človekovih pravic</t>
  </si>
  <si>
    <t>Policija - UUP, UIT</t>
  </si>
  <si>
    <t>Specifični cilji (SC)</t>
  </si>
  <si>
    <t>Osnova za izračun podpore Unije (skupne ali javne)</t>
  </si>
  <si>
    <t>Prispevek Unije (a)</t>
  </si>
  <si>
    <t>Nacionalni prispevek (b) = (c) + (d)</t>
  </si>
  <si>
    <t>Javno (c)</t>
  </si>
  <si>
    <t>Zasebno (d)</t>
  </si>
  <si>
    <t>Skupaj (e) = (a) + (b)</t>
  </si>
  <si>
    <t>Stopnja sofinanciranja (f) = (a) / (e)</t>
  </si>
  <si>
    <t>SO1</t>
  </si>
  <si>
    <t>Redni ukrepi</t>
  </si>
  <si>
    <t>Javno</t>
  </si>
  <si>
    <t>Ukrepi iz Priloge IV</t>
  </si>
  <si>
    <t>Skupaj Skupni evropski azilni sistem</t>
  </si>
  <si>
    <t>SO2</t>
  </si>
  <si>
    <t>Skupaj Zakonite migracije in vključevanje</t>
  </si>
  <si>
    <t>SO3</t>
  </si>
  <si>
    <t>Skupaj Vrnitev</t>
  </si>
  <si>
    <t>SO4</t>
  </si>
  <si>
    <t>Mednarodna zaščita (Premestitev v)</t>
  </si>
  <si>
    <t>Preselitev in humanitarni sprejem</t>
  </si>
  <si>
    <t>Skupaj Solidarnost</t>
  </si>
  <si>
    <t>Tehnična pomoč</t>
  </si>
  <si>
    <t>SKUPAJ</t>
  </si>
  <si>
    <t>AM.SO1.2</t>
  </si>
  <si>
    <t>Posebni ukrepi (90%)</t>
  </si>
  <si>
    <t>AM.SO1.2.1</t>
  </si>
  <si>
    <t>AM.SO1.2.2</t>
  </si>
  <si>
    <t>AM.SO1.2.3</t>
  </si>
  <si>
    <t>AM.SO1.2.4</t>
  </si>
  <si>
    <t xml:space="preserve">	Stroški  kritja najemnine prostorov ter povezanih obratovalnih stroškov.</t>
  </si>
  <si>
    <t>AM.SO3.1.2</t>
  </si>
  <si>
    <t>Pact and Ukraine specific action</t>
  </si>
  <si>
    <t>SEZMS - MNZ</t>
  </si>
  <si>
    <t>Kontrola</t>
  </si>
  <si>
    <t>AM.SO1.1.1-08</t>
  </si>
  <si>
    <t>AM.SO1.1.1-09</t>
  </si>
  <si>
    <t>AM.SO1.1.1-10</t>
  </si>
  <si>
    <r>
      <t xml:space="preserve">Celovito spremljanje zagotavljanja pravic prosilcem za mednarodno zaščito in osebam z mednarodno </t>
    </r>
    <r>
      <rPr>
        <sz val="9"/>
        <color rgb="FF000000"/>
        <rFont val="Arial"/>
        <family val="2"/>
        <charset val="238"/>
      </rPr>
      <t>zaščito  - digitalizacija</t>
    </r>
  </si>
  <si>
    <t>AM.SO1.1.5-03</t>
  </si>
  <si>
    <t>AM.SO1.2.1-01</t>
  </si>
  <si>
    <t>AM.SO1.2.1-02</t>
  </si>
  <si>
    <t>AM.SO1.2.2-01</t>
  </si>
  <si>
    <t>AM.SO1.2.2-02</t>
  </si>
  <si>
    <t>AM.SO1.2.2-03</t>
  </si>
  <si>
    <t>AM.SO1.2.3-01</t>
  </si>
  <si>
    <t>AM.SO1.2.3-02</t>
  </si>
  <si>
    <t>AM.SO1.2.4-01</t>
  </si>
  <si>
    <t>AM.SO2.1.7-03</t>
  </si>
  <si>
    <t>AM.SO3.1.1-05</t>
  </si>
  <si>
    <t>AM.SO3.1.2-01</t>
  </si>
  <si>
    <t>AM.SO3.1.6-03</t>
  </si>
  <si>
    <t>AM.SO3.3.4-02</t>
  </si>
  <si>
    <t xml:space="preserve">Akcijski načrt AMIF 2021-2027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</si>
</sst>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70C0"/>
      <name val="Arial"/>
      <family val="2"/>
      <charset val="238"/>
    </font>
    <font>
      <strike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4" fillId="0" borderId="0" xfId="0" applyNumberFormat="1" applyFont="1"/>
    <xf numFmtId="0" fontId="2" fillId="0" borderId="0" xfId="0" applyFont="1"/>
    <xf numFmtId="4" fontId="0" fillId="4" borderId="0" xfId="0" applyNumberFormat="1" applyFill="1"/>
    <xf numFmtId="4" fontId="4" fillId="0" borderId="1" xfId="0" applyNumberFormat="1" applyFont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wrapText="1"/>
    </xf>
    <xf numFmtId="0" fontId="4" fillId="2" borderId="3" xfId="0" applyNumberFormat="1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0" fontId="5" fillId="4" borderId="0" xfId="0" applyFont="1" applyFill="1"/>
    <xf numFmtId="4" fontId="5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0" fontId="6" fillId="5" borderId="1" xfId="0" applyNumberFormat="1" applyFont="1" applyFill="1" applyBorder="1" applyAlignment="1">
      <alignment wrapText="1"/>
    </xf>
    <xf numFmtId="0" fontId="6" fillId="0" borderId="1" xfId="0" quotePrefix="1" applyNumberFormat="1" applyFont="1" applyBorder="1" applyAlignment="1" applyProtection="1">
      <alignment wrapText="1"/>
    </xf>
    <xf numFmtId="4" fontId="6" fillId="5" borderId="1" xfId="0" applyNumberFormat="1" applyFont="1" applyFill="1" applyBorder="1" applyAlignment="1" applyProtection="1">
      <alignment wrapText="1"/>
    </xf>
    <xf numFmtId="4" fontId="6" fillId="5" borderId="1" xfId="0" applyNumberFormat="1" applyFont="1" applyFill="1" applyBorder="1" applyAlignment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>
      <alignment wrapText="1"/>
    </xf>
    <xf numFmtId="0" fontId="7" fillId="10" borderId="1" xfId="0" applyFont="1" applyFill="1" applyBorder="1"/>
    <xf numFmtId="0" fontId="7" fillId="1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 applyProtection="1">
      <alignment vertical="justify" wrapText="1"/>
    </xf>
    <xf numFmtId="0" fontId="6" fillId="5" borderId="1" xfId="0" applyNumberFormat="1" applyFont="1" applyFill="1" applyBorder="1" applyAlignment="1" applyProtection="1">
      <alignment vertical="justify"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7" fillId="10" borderId="1" xfId="0" applyNumberFormat="1" applyFont="1" applyFill="1" applyBorder="1" applyAlignment="1">
      <alignment vertical="justify" wrapText="1"/>
    </xf>
    <xf numFmtId="0" fontId="6" fillId="5" borderId="1" xfId="0" applyNumberFormat="1" applyFont="1" applyFill="1" applyBorder="1" applyAlignment="1">
      <alignment vertical="justify" wrapText="1"/>
    </xf>
    <xf numFmtId="0" fontId="6" fillId="4" borderId="1" xfId="0" applyNumberFormat="1" applyFont="1" applyFill="1" applyBorder="1" applyAlignment="1" applyProtection="1">
      <alignment wrapText="1"/>
    </xf>
    <xf numFmtId="4" fontId="6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wrapText="1"/>
    </xf>
    <xf numFmtId="4" fontId="3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vertical="justify" wrapText="1"/>
    </xf>
    <xf numFmtId="0" fontId="3" fillId="4" borderId="1" xfId="0" applyFont="1" applyFill="1" applyBorder="1" applyProtection="1">
      <protection locked="0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vertical="justify" wrapText="1"/>
    </xf>
    <xf numFmtId="4" fontId="6" fillId="4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vertical="justify" wrapText="1"/>
    </xf>
    <xf numFmtId="0" fontId="7" fillId="0" borderId="1" xfId="0" applyNumberFormat="1" applyFont="1" applyBorder="1" applyAlignment="1" applyProtection="1">
      <alignment wrapText="1"/>
    </xf>
    <xf numFmtId="0" fontId="6" fillId="5" borderId="1" xfId="0" applyNumberFormat="1" applyFont="1" applyFill="1" applyBorder="1" applyAlignment="1" applyProtection="1">
      <alignment vertical="top"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3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7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horizontal="left" wrapText="1"/>
    </xf>
    <xf numFmtId="0" fontId="6" fillId="9" borderId="1" xfId="0" applyNumberFormat="1" applyFont="1" applyFill="1" applyBorder="1" applyAlignment="1" applyProtection="1">
      <alignment wrapText="1"/>
    </xf>
    <xf numFmtId="0" fontId="6" fillId="9" borderId="1" xfId="0" applyNumberFormat="1" applyFont="1" applyFill="1" applyBorder="1" applyAlignment="1" applyProtection="1">
      <alignment vertical="justify" wrapText="1"/>
    </xf>
    <xf numFmtId="4" fontId="6" fillId="9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Protection="1">
      <protection locked="0"/>
    </xf>
    <xf numFmtId="0" fontId="6" fillId="9" borderId="1" xfId="0" applyNumberFormat="1" applyFont="1" applyFill="1" applyBorder="1" applyAlignment="1">
      <alignment wrapText="1"/>
    </xf>
    <xf numFmtId="4" fontId="6" fillId="9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3" borderId="1" xfId="0" applyNumberFormat="1" applyFont="1" applyFill="1" applyBorder="1" applyAlignment="1" applyProtection="1">
      <alignment wrapText="1"/>
    </xf>
    <xf numFmtId="0" fontId="7" fillId="3" borderId="1" xfId="0" applyNumberFormat="1" applyFont="1" applyFill="1" applyBorder="1" applyAlignment="1" applyProtection="1">
      <alignment vertical="justify" wrapText="1"/>
    </xf>
    <xf numFmtId="4" fontId="7" fillId="3" borderId="1" xfId="0" applyNumberFormat="1" applyFont="1" applyFill="1" applyBorder="1" applyAlignment="1" applyProtection="1">
      <alignment wrapText="1"/>
    </xf>
    <xf numFmtId="0" fontId="7" fillId="0" borderId="0" xfId="0" applyFont="1" applyBorder="1"/>
    <xf numFmtId="0" fontId="7" fillId="0" borderId="0" xfId="0" applyFont="1" applyBorder="1" applyAlignment="1">
      <alignment vertical="justify"/>
    </xf>
    <xf numFmtId="4" fontId="3" fillId="4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3" fillId="0" borderId="0" xfId="0" applyNumberFormat="1" applyFont="1" applyFill="1"/>
    <xf numFmtId="4" fontId="3" fillId="4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vertical="justify" wrapText="1"/>
    </xf>
    <xf numFmtId="4" fontId="0" fillId="0" borderId="0" xfId="0" applyNumberFormat="1" applyFill="1"/>
    <xf numFmtId="0" fontId="3" fillId="4" borderId="1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1" fillId="4" borderId="1" xfId="0" applyNumberFormat="1" applyFont="1" applyFill="1" applyBorder="1" applyAlignment="1" applyProtection="1">
      <alignment wrapText="1"/>
    </xf>
    <xf numFmtId="0" fontId="0" fillId="11" borderId="1" xfId="0" applyFill="1" applyBorder="1" applyAlignment="1">
      <alignment wrapText="1"/>
    </xf>
    <xf numFmtId="4" fontId="0" fillId="0" borderId="1" xfId="0" applyNumberFormat="1" applyBorder="1"/>
    <xf numFmtId="1" fontId="0" fillId="0" borderId="1" xfId="0" applyNumberFormat="1" applyBorder="1"/>
    <xf numFmtId="164" fontId="0" fillId="0" borderId="0" xfId="0" applyNumberFormat="1"/>
    <xf numFmtId="10" fontId="0" fillId="0" borderId="0" xfId="0" applyNumberFormat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4" fontId="0" fillId="12" borderId="1" xfId="0" applyNumberFormat="1" applyFill="1" applyBorder="1"/>
    <xf numFmtId="0" fontId="0" fillId="0" borderId="1" xfId="0" applyBorder="1" applyAlignment="1">
      <alignment wrapText="1"/>
    </xf>
    <xf numFmtId="4" fontId="0" fillId="12" borderId="1" xfId="0" applyNumberFormat="1" applyFill="1" applyBorder="1" applyAlignment="1">
      <alignment wrapText="1"/>
    </xf>
    <xf numFmtId="4" fontId="2" fillId="0" borderId="1" xfId="0" applyNumberFormat="1" applyFont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4" fontId="12" fillId="13" borderId="1" xfId="0" applyNumberFormat="1" applyFont="1" applyFill="1" applyBorder="1"/>
    <xf numFmtId="4" fontId="13" fillId="0" borderId="7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0" fontId="0" fillId="12" borderId="1" xfId="0" applyNumberFormat="1" applyFill="1" applyBorder="1"/>
    <xf numFmtId="10" fontId="12" fillId="13" borderId="1" xfId="0" applyNumberFormat="1" applyFont="1" applyFill="1" applyBorder="1"/>
    <xf numFmtId="0" fontId="0" fillId="0" borderId="0" xfId="0"/>
    <xf numFmtId="4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0" fillId="5" borderId="5" xfId="0" applyNumberFormat="1" applyFill="1" applyBorder="1"/>
    <xf numFmtId="4" fontId="0" fillId="5" borderId="1" xfId="0" applyNumberFormat="1" applyFill="1" applyBorder="1"/>
    <xf numFmtId="0" fontId="4" fillId="0" borderId="1" xfId="0" applyFont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left" wrapText="1"/>
    </xf>
    <xf numFmtId="4" fontId="14" fillId="3" borderId="1" xfId="0" applyNumberFormat="1" applyFont="1" applyFill="1" applyBorder="1" applyAlignment="1" applyProtection="1">
      <alignment wrapText="1"/>
    </xf>
    <xf numFmtId="4" fontId="14" fillId="10" borderId="1" xfId="0" applyNumberFormat="1" applyFont="1" applyFill="1" applyBorder="1" applyAlignment="1" applyProtection="1">
      <alignment wrapText="1"/>
    </xf>
    <xf numFmtId="4" fontId="15" fillId="9" borderId="1" xfId="0" applyNumberFormat="1" applyFont="1" applyFill="1" applyBorder="1" applyAlignment="1" applyProtection="1">
      <alignment wrapText="1"/>
    </xf>
    <xf numFmtId="4" fontId="15" fillId="5" borderId="1" xfId="0" applyNumberFormat="1" applyFont="1" applyFill="1" applyBorder="1" applyAlignment="1" applyProtection="1">
      <alignment wrapText="1"/>
    </xf>
    <xf numFmtId="4" fontId="15" fillId="4" borderId="1" xfId="0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6" fillId="0" borderId="0" xfId="0" applyFont="1" applyFill="1" applyBorder="1"/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vertical="top" wrapText="1"/>
    </xf>
    <xf numFmtId="4" fontId="15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B650BC6B-D146-4FDE-9258-61F4935B4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610072</xdr:colOff>
      <xdr:row>0</xdr:row>
      <xdr:rowOff>31750</xdr:rowOff>
    </xdr:from>
    <xdr:to>
      <xdr:col>18</xdr:col>
      <xdr:colOff>141635</xdr:colOff>
      <xdr:row>1</xdr:row>
      <xdr:rowOff>148171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0822" y="31750"/>
          <a:ext cx="1161396" cy="317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23"/>
  <sheetViews>
    <sheetView tabSelected="1" zoomScale="90" zoomScaleNormal="90" workbookViewId="0">
      <pane xSplit="5" ySplit="4" topLeftCell="F93" activePane="bottomRight" state="frozen"/>
      <selection pane="topRight" activeCell="F1" sqref="F1"/>
      <selection pane="bottomLeft" activeCell="A5" sqref="A5"/>
      <selection pane="bottomRight" sqref="A1:S108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7" width="17.7109375" bestFit="1" customWidth="1"/>
    <col min="8" max="8" width="16" bestFit="1" customWidth="1"/>
    <col min="9" max="9" width="14.42578125" bestFit="1" customWidth="1"/>
    <col min="10" max="10" width="9.85546875" hidden="1" customWidth="1"/>
    <col min="11" max="12" width="11.28515625" bestFit="1" customWidth="1"/>
    <col min="13" max="13" width="12.28515625" bestFit="1" customWidth="1"/>
    <col min="14" max="14" width="14.85546875" customWidth="1"/>
    <col min="15" max="15" width="12.28515625" bestFit="1" customWidth="1"/>
    <col min="16" max="17" width="12.28515625" style="174" bestFit="1" customWidth="1"/>
    <col min="18" max="18" width="12.28515625" style="174" hidden="1" customWidth="1"/>
    <col min="19" max="20" width="12.7109375" bestFit="1" customWidth="1"/>
    <col min="22" max="22" width="11.7109375" bestFit="1" customWidth="1"/>
  </cols>
  <sheetData>
    <row r="1" spans="1:19" ht="15.75" x14ac:dyDescent="0.25">
      <c r="A1" s="132" t="s">
        <v>1070</v>
      </c>
      <c r="B1" s="133"/>
      <c r="C1" s="133"/>
      <c r="D1" s="110"/>
      <c r="E1" s="110"/>
      <c r="F1" s="110"/>
      <c r="G1" s="110"/>
      <c r="H1" s="110"/>
      <c r="I1" s="110"/>
      <c r="J1" s="110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19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81" t="s">
        <v>1051</v>
      </c>
      <c r="S3" s="116" t="s">
        <v>978</v>
      </c>
    </row>
    <row r="4" spans="1:19" ht="40.5" customHeight="1" x14ac:dyDescent="0.2">
      <c r="A4" s="123"/>
      <c r="B4" s="129" t="s">
        <v>842</v>
      </c>
      <c r="C4" s="130"/>
      <c r="D4" s="129"/>
      <c r="E4" s="129"/>
      <c r="F4" s="129"/>
      <c r="G4" s="131">
        <f t="shared" ref="G4:R4" si="0">+G5+G49+G76+G105+G98</f>
        <v>92126547.457999989</v>
      </c>
      <c r="H4" s="131">
        <f t="shared" si="0"/>
        <v>76133119.997999996</v>
      </c>
      <c r="I4" s="131">
        <f t="shared" si="0"/>
        <v>15993427.459999999</v>
      </c>
      <c r="J4" s="131">
        <f t="shared" si="0"/>
        <v>0</v>
      </c>
      <c r="K4" s="131">
        <f t="shared" si="0"/>
        <v>1921538.16</v>
      </c>
      <c r="L4" s="131">
        <f t="shared" si="0"/>
        <v>7915506.5099999998</v>
      </c>
      <c r="M4" s="131">
        <f t="shared" si="0"/>
        <v>12431411.93</v>
      </c>
      <c r="N4" s="131">
        <f t="shared" si="0"/>
        <v>13516578.6666</v>
      </c>
      <c r="O4" s="131">
        <f t="shared" si="0"/>
        <v>11619209.939900002</v>
      </c>
      <c r="P4" s="131">
        <f t="shared" si="0"/>
        <v>5798079.4399999995</v>
      </c>
      <c r="Q4" s="131">
        <f t="shared" si="0"/>
        <v>6628837.5800000001</v>
      </c>
      <c r="R4" s="182">
        <f t="shared" si="0"/>
        <v>3.5000002117158147E-3</v>
      </c>
      <c r="S4" s="131"/>
    </row>
    <row r="5" spans="1:19" ht="24" x14ac:dyDescent="0.2">
      <c r="A5" s="88"/>
      <c r="B5" s="88" t="s">
        <v>907</v>
      </c>
      <c r="C5" s="93" t="s">
        <v>846</v>
      </c>
      <c r="D5" s="88" t="s">
        <v>2</v>
      </c>
      <c r="E5" s="88"/>
      <c r="F5" s="88"/>
      <c r="G5" s="89">
        <f>+G6+G27+G40+G45</f>
        <v>52795707.898000002</v>
      </c>
      <c r="H5" s="89">
        <f>+H6+H27+H40+H45</f>
        <v>45229844.908</v>
      </c>
      <c r="I5" s="89">
        <f>+I6+I27+I40+I45</f>
        <v>7565862.9900000002</v>
      </c>
      <c r="J5" s="89">
        <f t="shared" ref="J5:O5" si="1">+J6+J40+J45</f>
        <v>0</v>
      </c>
      <c r="K5" s="89">
        <f t="shared" si="1"/>
        <v>516373.95999999996</v>
      </c>
      <c r="L5" s="89">
        <f t="shared" si="1"/>
        <v>2521455.71</v>
      </c>
      <c r="M5" s="89">
        <f t="shared" si="1"/>
        <v>4189400</v>
      </c>
      <c r="N5" s="89">
        <f t="shared" si="1"/>
        <v>5335664.2333000004</v>
      </c>
      <c r="O5" s="89">
        <f t="shared" si="1"/>
        <v>6058792.3866000008</v>
      </c>
      <c r="P5" s="89">
        <f t="shared" ref="P5:R5" si="2">+P6+P40+P45</f>
        <v>2225635.44</v>
      </c>
      <c r="Q5" s="89">
        <f t="shared" ref="Q5" si="3">+Q6+Q40+Q45</f>
        <v>1463000.94</v>
      </c>
      <c r="R5" s="183">
        <f t="shared" si="2"/>
        <v>9.9999791927984916E-5</v>
      </c>
      <c r="S5" s="89"/>
    </row>
    <row r="6" spans="1:19" ht="24" x14ac:dyDescent="0.2">
      <c r="A6" s="120"/>
      <c r="B6" s="120" t="s">
        <v>908</v>
      </c>
      <c r="C6" s="121" t="s">
        <v>859</v>
      </c>
      <c r="D6" s="120" t="s">
        <v>847</v>
      </c>
      <c r="E6" s="120"/>
      <c r="F6" s="120"/>
      <c r="G6" s="122">
        <f t="shared" ref="G6:O6" si="4">+G7+G18+G21+G23</f>
        <v>17246464.329999998</v>
      </c>
      <c r="H6" s="122">
        <f t="shared" si="4"/>
        <v>12934848.210000001</v>
      </c>
      <c r="I6" s="122">
        <f t="shared" si="4"/>
        <v>4311616.12</v>
      </c>
      <c r="J6" s="122">
        <f t="shared" si="4"/>
        <v>0</v>
      </c>
      <c r="K6" s="122">
        <f t="shared" si="4"/>
        <v>508966.93999999994</v>
      </c>
      <c r="L6" s="122">
        <f t="shared" si="4"/>
        <v>1253255.2</v>
      </c>
      <c r="M6" s="122">
        <f t="shared" si="4"/>
        <v>1867850</v>
      </c>
      <c r="N6" s="122">
        <f t="shared" si="4"/>
        <v>2391964.2333</v>
      </c>
      <c r="O6" s="122">
        <f t="shared" si="4"/>
        <v>2596216.4566000006</v>
      </c>
      <c r="P6" s="122">
        <f t="shared" ref="P6:R6" si="5">+P7+P18+P21+P23</f>
        <v>1253935.44</v>
      </c>
      <c r="Q6" s="122">
        <f t="shared" ref="Q6" si="6">+Q7+Q18+Q21+Q23</f>
        <v>798026.05999999994</v>
      </c>
      <c r="R6" s="184">
        <f t="shared" si="5"/>
        <v>9.9999908343306743E-5</v>
      </c>
      <c r="S6" s="122"/>
    </row>
    <row r="7" spans="1:19" x14ac:dyDescent="0.2">
      <c r="A7" s="81"/>
      <c r="B7" s="81" t="s">
        <v>909</v>
      </c>
      <c r="C7" s="81" t="s">
        <v>848</v>
      </c>
      <c r="D7" s="81" t="s">
        <v>8</v>
      </c>
      <c r="E7" s="81"/>
      <c r="F7" s="81"/>
      <c r="G7" s="85">
        <f>SUM(G8:G17)</f>
        <v>8460959.0499999989</v>
      </c>
      <c r="H7" s="85">
        <f>SUM(H8:H17)</f>
        <v>6345719.2599999998</v>
      </c>
      <c r="I7" s="85">
        <f t="shared" ref="I7" si="7">SUM(I8:I17)</f>
        <v>2115239.79</v>
      </c>
      <c r="J7" s="85">
        <f t="shared" ref="J7:O7" si="8">SUM(J8:J15)</f>
        <v>0</v>
      </c>
      <c r="K7" s="85">
        <f t="shared" si="8"/>
        <v>293687.55</v>
      </c>
      <c r="L7" s="85">
        <f t="shared" si="8"/>
        <v>752027.79</v>
      </c>
      <c r="M7" s="85">
        <f t="shared" si="8"/>
        <v>939850</v>
      </c>
      <c r="N7" s="85">
        <f t="shared" si="8"/>
        <v>1504002.4432999999</v>
      </c>
      <c r="O7" s="85">
        <f t="shared" si="8"/>
        <v>1706572.4833000002</v>
      </c>
      <c r="P7" s="85">
        <f t="shared" ref="P7:R7" si="9">SUM(P8:P15)</f>
        <v>555135.43999999994</v>
      </c>
      <c r="Q7" s="85">
        <f t="shared" ref="Q7" si="10">SUM(Q8:Q15)</f>
        <v>229683.34</v>
      </c>
      <c r="R7" s="185">
        <f t="shared" si="9"/>
        <v>3.3999999286606908E-3</v>
      </c>
      <c r="S7" s="85"/>
    </row>
    <row r="8" spans="1:19" ht="24" x14ac:dyDescent="0.2">
      <c r="A8" s="100">
        <v>1</v>
      </c>
      <c r="B8" s="100" t="s">
        <v>910</v>
      </c>
      <c r="C8" s="102" t="s">
        <v>849</v>
      </c>
      <c r="D8" s="100" t="s">
        <v>11</v>
      </c>
      <c r="E8" s="100" t="s">
        <v>905</v>
      </c>
      <c r="F8" s="100" t="s">
        <v>839</v>
      </c>
      <c r="G8" s="101">
        <f>+H8+I8</f>
        <v>490266.67</v>
      </c>
      <c r="H8" s="101">
        <f>742700-7500-7500-360000</f>
        <v>367700</v>
      </c>
      <c r="I8" s="101">
        <f>ROUNDUP(H8/3,2)</f>
        <v>122566.67</v>
      </c>
      <c r="J8" s="101"/>
      <c r="K8" s="101">
        <v>0</v>
      </c>
      <c r="L8" s="101">
        <v>0</v>
      </c>
      <c r="M8" s="101">
        <v>0</v>
      </c>
      <c r="N8" s="101">
        <v>242567</v>
      </c>
      <c r="O8" s="101">
        <f>242567+5132.67</f>
        <v>247699.67</v>
      </c>
      <c r="P8" s="101">
        <v>0</v>
      </c>
      <c r="Q8" s="101">
        <v>0</v>
      </c>
      <c r="R8" s="186">
        <f>+G8-J8-K8-L8-M8-N8-O8-P8-Q8</f>
        <v>-2.9103830456733704E-11</v>
      </c>
      <c r="S8" s="101"/>
    </row>
    <row r="9" spans="1:19" ht="36" x14ac:dyDescent="0.2">
      <c r="A9" s="100">
        <v>2</v>
      </c>
      <c r="B9" s="100" t="s">
        <v>911</v>
      </c>
      <c r="C9" s="102" t="s">
        <v>850</v>
      </c>
      <c r="D9" s="100" t="s">
        <v>11</v>
      </c>
      <c r="E9" s="100" t="s">
        <v>905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22350</v>
      </c>
      <c r="N9" s="101">
        <v>7450</v>
      </c>
      <c r="O9" s="101">
        <v>7533.3399999999965</v>
      </c>
      <c r="P9" s="101">
        <v>0</v>
      </c>
      <c r="Q9" s="101">
        <v>0</v>
      </c>
      <c r="R9" s="186">
        <f t="shared" ref="R9:R25" si="11">+G9-J9-K9-L9-M9-N9-O9-P9-Q9</f>
        <v>0</v>
      </c>
      <c r="S9" s="101"/>
    </row>
    <row r="10" spans="1:19" ht="24" x14ac:dyDescent="0.2">
      <c r="A10" s="100">
        <v>3</v>
      </c>
      <c r="B10" s="100" t="s">
        <v>912</v>
      </c>
      <c r="C10" s="141" t="s">
        <v>838</v>
      </c>
      <c r="D10" s="100" t="s">
        <v>11</v>
      </c>
      <c r="E10" s="100" t="s">
        <v>836</v>
      </c>
      <c r="F10" s="100" t="s">
        <v>839</v>
      </c>
      <c r="G10" s="101">
        <f t="shared" ref="G10:G15" si="12">+H10+I10</f>
        <v>3179819.96</v>
      </c>
      <c r="H10" s="101">
        <v>2384864.9700000002</v>
      </c>
      <c r="I10" s="101">
        <f t="shared" ref="I10:I26" si="13">ROUNDUP(H10/3,2)</f>
        <v>794954.99</v>
      </c>
      <c r="J10" s="101"/>
      <c r="K10" s="101">
        <v>293687.55</v>
      </c>
      <c r="L10" s="101">
        <v>707195.04</v>
      </c>
      <c r="M10" s="101">
        <f>720000+70000</f>
        <v>790000</v>
      </c>
      <c r="N10" s="101">
        <v>720000</v>
      </c>
      <c r="O10" s="101">
        <f>463711.01+313153.3-40000+2073.06+114.07-114.07-70000</f>
        <v>668937.37000000011</v>
      </c>
      <c r="P10" s="101">
        <v>0</v>
      </c>
      <c r="Q10" s="101">
        <v>0</v>
      </c>
      <c r="R10" s="186">
        <f t="shared" si="11"/>
        <v>0</v>
      </c>
      <c r="S10" s="137"/>
    </row>
    <row r="11" spans="1:19" ht="24" x14ac:dyDescent="0.2">
      <c r="A11" s="100">
        <v>4</v>
      </c>
      <c r="B11" s="100" t="s">
        <v>913</v>
      </c>
      <c r="C11" s="141" t="s">
        <v>851</v>
      </c>
      <c r="D11" s="100" t="s">
        <v>11</v>
      </c>
      <c r="E11" s="100" t="s">
        <v>836</v>
      </c>
      <c r="F11" s="100" t="s">
        <v>837</v>
      </c>
      <c r="G11" s="101">
        <f t="shared" si="12"/>
        <v>653333.34</v>
      </c>
      <c r="H11" s="101">
        <v>490000</v>
      </c>
      <c r="I11" s="101">
        <f t="shared" si="13"/>
        <v>163333.34</v>
      </c>
      <c r="J11" s="101"/>
      <c r="K11" s="101">
        <v>0</v>
      </c>
      <c r="L11" s="101">
        <v>0</v>
      </c>
      <c r="M11" s="101">
        <v>0</v>
      </c>
      <c r="N11" s="101">
        <f>210000</f>
        <v>210000</v>
      </c>
      <c r="O11" s="101">
        <f>235000-1666.66</f>
        <v>233333.34</v>
      </c>
      <c r="P11" s="101">
        <f>210000</f>
        <v>210000</v>
      </c>
      <c r="Q11" s="101">
        <v>0</v>
      </c>
      <c r="R11" s="186">
        <f t="shared" si="11"/>
        <v>-2.9103830456733704E-11</v>
      </c>
      <c r="S11" s="137"/>
    </row>
    <row r="12" spans="1:19" ht="36" x14ac:dyDescent="0.2">
      <c r="A12" s="100">
        <v>5</v>
      </c>
      <c r="B12" s="100" t="s">
        <v>914</v>
      </c>
      <c r="C12" s="141" t="s">
        <v>852</v>
      </c>
      <c r="D12" s="100" t="s">
        <v>11</v>
      </c>
      <c r="E12" s="100" t="s">
        <v>836</v>
      </c>
      <c r="F12" s="100" t="s">
        <v>837</v>
      </c>
      <c r="G12" s="101">
        <f t="shared" si="12"/>
        <v>653333.34</v>
      </c>
      <c r="H12" s="101">
        <v>490000</v>
      </c>
      <c r="I12" s="101">
        <f t="shared" si="13"/>
        <v>163333.34</v>
      </c>
      <c r="J12" s="101"/>
      <c r="K12" s="101">
        <v>0</v>
      </c>
      <c r="L12" s="101">
        <v>40210.35</v>
      </c>
      <c r="M12" s="101">
        <v>80000</v>
      </c>
      <c r="N12" s="101">
        <f>93333.34+62152.1033</f>
        <v>155485.44329999998</v>
      </c>
      <c r="O12" s="101">
        <f>200000+62152.1033</f>
        <v>262152.10330000002</v>
      </c>
      <c r="P12" s="101">
        <f>117512.53-2027.09</f>
        <v>115485.44</v>
      </c>
      <c r="Q12" s="101">
        <v>0</v>
      </c>
      <c r="R12" s="186">
        <f t="shared" si="11"/>
        <v>3.3999999868683517E-3</v>
      </c>
      <c r="S12" s="137"/>
    </row>
    <row r="13" spans="1:19" ht="36" x14ac:dyDescent="0.2">
      <c r="A13" s="100">
        <v>6</v>
      </c>
      <c r="B13" s="100" t="s">
        <v>915</v>
      </c>
      <c r="C13" s="141" t="s">
        <v>900</v>
      </c>
      <c r="D13" s="100" t="s">
        <v>11</v>
      </c>
      <c r="E13" s="100" t="s">
        <v>836</v>
      </c>
      <c r="F13" s="100" t="s">
        <v>839</v>
      </c>
      <c r="G13" s="101">
        <f t="shared" si="12"/>
        <v>151289.06</v>
      </c>
      <c r="H13" s="101">
        <v>113466.79</v>
      </c>
      <c r="I13" s="101">
        <f t="shared" si="13"/>
        <v>37822.270000000004</v>
      </c>
      <c r="J13" s="101"/>
      <c r="K13" s="101">
        <v>0</v>
      </c>
      <c r="L13" s="101">
        <v>4622.3999999999996</v>
      </c>
      <c r="M13" s="101">
        <f>40000</f>
        <v>40000</v>
      </c>
      <c r="N13" s="101">
        <f>50000</f>
        <v>50000</v>
      </c>
      <c r="O13" s="101">
        <f>56666.66</f>
        <v>56666.66</v>
      </c>
      <c r="P13" s="101">
        <v>0</v>
      </c>
      <c r="Q13" s="101">
        <v>0</v>
      </c>
      <c r="R13" s="186">
        <f t="shared" si="11"/>
        <v>0</v>
      </c>
      <c r="S13" s="137"/>
    </row>
    <row r="14" spans="1:19" ht="48" x14ac:dyDescent="0.2">
      <c r="A14" s="100">
        <v>7</v>
      </c>
      <c r="B14" s="100" t="s">
        <v>916</v>
      </c>
      <c r="C14" s="151" t="s">
        <v>903</v>
      </c>
      <c r="D14" s="100" t="s">
        <v>11</v>
      </c>
      <c r="E14" s="100" t="s">
        <v>905</v>
      </c>
      <c r="F14" s="100" t="s">
        <v>839</v>
      </c>
      <c r="G14" s="101">
        <f t="shared" si="12"/>
        <v>33333.339999999997</v>
      </c>
      <c r="H14" s="101">
        <v>25000</v>
      </c>
      <c r="I14" s="101">
        <f t="shared" si="13"/>
        <v>8333.34</v>
      </c>
      <c r="J14" s="101"/>
      <c r="K14" s="101">
        <v>0</v>
      </c>
      <c r="L14" s="101">
        <v>0</v>
      </c>
      <c r="M14" s="101">
        <v>7500</v>
      </c>
      <c r="N14" s="101">
        <v>6750</v>
      </c>
      <c r="O14" s="101">
        <v>6750</v>
      </c>
      <c r="P14" s="101">
        <v>6150</v>
      </c>
      <c r="Q14" s="101">
        <v>6183.34</v>
      </c>
      <c r="R14" s="186">
        <f t="shared" si="11"/>
        <v>0</v>
      </c>
      <c r="S14" s="101"/>
    </row>
    <row r="15" spans="1:19" ht="36" x14ac:dyDescent="0.2">
      <c r="A15" s="100">
        <v>8</v>
      </c>
      <c r="B15" s="100" t="s">
        <v>1052</v>
      </c>
      <c r="C15" s="189" t="s">
        <v>999</v>
      </c>
      <c r="D15" s="100" t="s">
        <v>11</v>
      </c>
      <c r="E15" s="103" t="s">
        <v>836</v>
      </c>
      <c r="F15" s="100" t="s">
        <v>839</v>
      </c>
      <c r="G15" s="101">
        <f t="shared" si="12"/>
        <v>782250</v>
      </c>
      <c r="H15" s="99">
        <v>586687.5</v>
      </c>
      <c r="I15" s="99">
        <f t="shared" si="13"/>
        <v>195562.5</v>
      </c>
      <c r="J15" s="101"/>
      <c r="K15" s="101">
        <v>0</v>
      </c>
      <c r="L15" s="101">
        <v>0</v>
      </c>
      <c r="M15" s="101">
        <v>0</v>
      </c>
      <c r="N15" s="101">
        <v>111750</v>
      </c>
      <c r="O15" s="101">
        <v>223500</v>
      </c>
      <c r="P15" s="101">
        <v>223500</v>
      </c>
      <c r="Q15" s="101">
        <v>223500</v>
      </c>
      <c r="R15" s="186">
        <f t="shared" si="11"/>
        <v>0</v>
      </c>
      <c r="S15" s="137"/>
    </row>
    <row r="16" spans="1:19" ht="60" x14ac:dyDescent="0.2">
      <c r="A16" s="100">
        <v>9</v>
      </c>
      <c r="B16" s="100" t="s">
        <v>1053</v>
      </c>
      <c r="C16" s="100" t="s">
        <v>1055</v>
      </c>
      <c r="D16" s="100" t="s">
        <v>11</v>
      </c>
      <c r="E16" s="103" t="s">
        <v>836</v>
      </c>
      <c r="F16" s="100" t="s">
        <v>839</v>
      </c>
      <c r="G16" s="101">
        <f>+H16+I16</f>
        <v>2000000</v>
      </c>
      <c r="H16" s="99">
        <v>1500000</v>
      </c>
      <c r="I16" s="99">
        <f t="shared" si="13"/>
        <v>500000</v>
      </c>
      <c r="J16" s="101"/>
      <c r="K16" s="101">
        <v>0</v>
      </c>
      <c r="L16" s="101">
        <v>0</v>
      </c>
      <c r="M16" s="101">
        <v>0</v>
      </c>
      <c r="N16" s="101">
        <v>1300000</v>
      </c>
      <c r="O16" s="101">
        <v>500000</v>
      </c>
      <c r="P16" s="101">
        <f>250000-150000</f>
        <v>100000</v>
      </c>
      <c r="Q16" s="101">
        <f>250000-150000</f>
        <v>100000</v>
      </c>
      <c r="R16" s="186">
        <f t="shared" si="11"/>
        <v>0</v>
      </c>
      <c r="S16" s="137"/>
    </row>
    <row r="17" spans="1:19" ht="36" x14ac:dyDescent="0.2">
      <c r="A17" s="100">
        <v>10</v>
      </c>
      <c r="B17" s="100" t="s">
        <v>1054</v>
      </c>
      <c r="C17" s="100" t="s">
        <v>1047</v>
      </c>
      <c r="D17" s="100" t="s">
        <v>11</v>
      </c>
      <c r="E17" s="100" t="s">
        <v>905</v>
      </c>
      <c r="F17" s="100" t="s">
        <v>839</v>
      </c>
      <c r="G17" s="101">
        <f>+H17+I17</f>
        <v>480000</v>
      </c>
      <c r="H17" s="99">
        <v>360000</v>
      </c>
      <c r="I17" s="101">
        <f t="shared" si="13"/>
        <v>120000</v>
      </c>
      <c r="J17" s="101"/>
      <c r="K17" s="101">
        <v>0</v>
      </c>
      <c r="L17" s="101">
        <v>0</v>
      </c>
      <c r="M17" s="101">
        <v>0</v>
      </c>
      <c r="N17" s="101">
        <v>120000</v>
      </c>
      <c r="O17" s="101">
        <v>120000</v>
      </c>
      <c r="P17" s="101">
        <v>120000</v>
      </c>
      <c r="Q17" s="101">
        <v>120000</v>
      </c>
      <c r="R17" s="186">
        <f t="shared" si="11"/>
        <v>0</v>
      </c>
      <c r="S17" s="137"/>
    </row>
    <row r="18" spans="1:19" x14ac:dyDescent="0.2">
      <c r="A18" s="81"/>
      <c r="B18" s="81" t="s">
        <v>917</v>
      </c>
      <c r="C18" s="81" t="s">
        <v>853</v>
      </c>
      <c r="D18" s="81" t="s">
        <v>8</v>
      </c>
      <c r="E18" s="81"/>
      <c r="F18" s="81"/>
      <c r="G18" s="85">
        <f>+G19+G20</f>
        <v>3877706.67</v>
      </c>
      <c r="H18" s="85">
        <f t="shared" ref="H18:O18" si="14">+H19+H20</f>
        <v>2908280</v>
      </c>
      <c r="I18" s="85">
        <f t="shared" si="14"/>
        <v>969426.66999999993</v>
      </c>
      <c r="J18" s="85">
        <f t="shared" si="14"/>
        <v>0</v>
      </c>
      <c r="K18" s="85">
        <f t="shared" si="14"/>
        <v>83136.170000000013</v>
      </c>
      <c r="L18" s="85">
        <f t="shared" si="14"/>
        <v>437227.77999999997</v>
      </c>
      <c r="M18" s="85">
        <f t="shared" si="14"/>
        <v>728000</v>
      </c>
      <c r="N18" s="85">
        <f t="shared" si="14"/>
        <v>687000</v>
      </c>
      <c r="O18" s="85">
        <f t="shared" si="14"/>
        <v>687000</v>
      </c>
      <c r="P18" s="85">
        <f t="shared" ref="P18:R18" si="15">+P19+P20</f>
        <v>687000</v>
      </c>
      <c r="Q18" s="85">
        <f t="shared" ref="Q18" si="16">+Q19+Q20</f>
        <v>568342.72</v>
      </c>
      <c r="R18" s="85">
        <f t="shared" si="15"/>
        <v>0</v>
      </c>
      <c r="S18" s="85"/>
    </row>
    <row r="19" spans="1:19" ht="36" x14ac:dyDescent="0.2">
      <c r="A19" s="100">
        <v>11</v>
      </c>
      <c r="B19" s="100" t="s">
        <v>918</v>
      </c>
      <c r="C19" s="100" t="s">
        <v>904</v>
      </c>
      <c r="D19" s="100" t="s">
        <v>11</v>
      </c>
      <c r="E19" s="100" t="s">
        <v>905</v>
      </c>
      <c r="F19" s="100" t="s">
        <v>839</v>
      </c>
      <c r="G19" s="101">
        <f t="shared" ref="G19:G20" si="17">+H19+I19</f>
        <v>1861806.67</v>
      </c>
      <c r="H19" s="101">
        <f>1221605+174750</f>
        <v>1396355</v>
      </c>
      <c r="I19" s="101">
        <f t="shared" si="13"/>
        <v>465451.67</v>
      </c>
      <c r="J19" s="101"/>
      <c r="K19" s="101">
        <v>9479.32</v>
      </c>
      <c r="L19" s="101">
        <v>164769.12</v>
      </c>
      <c r="M19" s="101">
        <v>325000</v>
      </c>
      <c r="N19" s="101">
        <v>345000</v>
      </c>
      <c r="O19" s="101">
        <v>345000</v>
      </c>
      <c r="P19" s="101">
        <v>345000</v>
      </c>
      <c r="Q19" s="101">
        <v>327558.23</v>
      </c>
      <c r="R19" s="186">
        <f t="shared" si="11"/>
        <v>0</v>
      </c>
      <c r="S19" s="101"/>
    </row>
    <row r="20" spans="1:19" x14ac:dyDescent="0.2">
      <c r="A20" s="100">
        <v>12</v>
      </c>
      <c r="B20" s="100" t="s">
        <v>919</v>
      </c>
      <c r="C20" s="102" t="s">
        <v>25</v>
      </c>
      <c r="D20" s="100" t="s">
        <v>11</v>
      </c>
      <c r="E20" s="100" t="s">
        <v>905</v>
      </c>
      <c r="F20" s="100" t="s">
        <v>839</v>
      </c>
      <c r="G20" s="101">
        <f t="shared" si="17"/>
        <v>2015900</v>
      </c>
      <c r="H20" s="101">
        <v>1511925</v>
      </c>
      <c r="I20" s="101">
        <f t="shared" si="13"/>
        <v>503975</v>
      </c>
      <c r="J20" s="101"/>
      <c r="K20" s="101">
        <v>73656.850000000006</v>
      </c>
      <c r="L20" s="101">
        <v>272458.65999999997</v>
      </c>
      <c r="M20" s="101">
        <v>403000</v>
      </c>
      <c r="N20" s="101">
        <v>342000</v>
      </c>
      <c r="O20" s="101">
        <v>342000</v>
      </c>
      <c r="P20" s="101">
        <v>342000</v>
      </c>
      <c r="Q20" s="101">
        <v>240784.49</v>
      </c>
      <c r="R20" s="186">
        <f t="shared" si="11"/>
        <v>0</v>
      </c>
      <c r="S20" s="101"/>
    </row>
    <row r="21" spans="1:19" x14ac:dyDescent="0.2">
      <c r="A21" s="81"/>
      <c r="B21" s="81" t="s">
        <v>920</v>
      </c>
      <c r="C21" s="94" t="s">
        <v>854</v>
      </c>
      <c r="D21" s="81" t="s">
        <v>8</v>
      </c>
      <c r="E21" s="81"/>
      <c r="F21" s="81"/>
      <c r="G21" s="85">
        <f t="shared" ref="G21:R21" si="18">SUM(G22:G22)</f>
        <v>46666.67</v>
      </c>
      <c r="H21" s="85">
        <f t="shared" si="18"/>
        <v>35000</v>
      </c>
      <c r="I21" s="85">
        <f t="shared" si="18"/>
        <v>11666.67</v>
      </c>
      <c r="J21" s="85">
        <f t="shared" si="18"/>
        <v>0</v>
      </c>
      <c r="K21" s="85">
        <f t="shared" si="18"/>
        <v>2453.94</v>
      </c>
      <c r="L21" s="85">
        <f t="shared" si="18"/>
        <v>8806.9699999999993</v>
      </c>
      <c r="M21" s="85">
        <f t="shared" si="18"/>
        <v>0</v>
      </c>
      <c r="N21" s="85">
        <f t="shared" si="18"/>
        <v>11800</v>
      </c>
      <c r="O21" s="85">
        <f t="shared" si="18"/>
        <v>11805.763300000001</v>
      </c>
      <c r="P21" s="85">
        <f t="shared" si="18"/>
        <v>11800</v>
      </c>
      <c r="Q21" s="85">
        <f t="shared" si="18"/>
        <v>0</v>
      </c>
      <c r="R21" s="85">
        <f t="shared" si="18"/>
        <v>-3.3000000057654688E-3</v>
      </c>
      <c r="S21" s="85"/>
    </row>
    <row r="22" spans="1:19" ht="48" x14ac:dyDescent="0.2">
      <c r="A22" s="98">
        <v>13</v>
      </c>
      <c r="B22" s="98" t="s">
        <v>921</v>
      </c>
      <c r="C22" s="142" t="s">
        <v>855</v>
      </c>
      <c r="D22" s="98" t="s">
        <v>11</v>
      </c>
      <c r="E22" s="98" t="s">
        <v>836</v>
      </c>
      <c r="F22" s="98" t="s">
        <v>839</v>
      </c>
      <c r="G22" s="112">
        <f t="shared" ref="G22" si="19">+H22+I22</f>
        <v>46666.67</v>
      </c>
      <c r="H22" s="99">
        <v>35000</v>
      </c>
      <c r="I22" s="101">
        <f t="shared" si="13"/>
        <v>11666.67</v>
      </c>
      <c r="J22" s="101"/>
      <c r="K22" s="101">
        <v>2453.94</v>
      </c>
      <c r="L22" s="101">
        <v>8806.9699999999993</v>
      </c>
      <c r="M22" s="101">
        <v>0</v>
      </c>
      <c r="N22" s="99">
        <f>11800</f>
        <v>11800</v>
      </c>
      <c r="O22" s="99">
        <f>6666.66+5135.2533+3.85</f>
        <v>11805.763300000001</v>
      </c>
      <c r="P22" s="99">
        <v>11800</v>
      </c>
      <c r="Q22" s="99">
        <v>0</v>
      </c>
      <c r="R22" s="186">
        <f t="shared" si="11"/>
        <v>-3.3000000057654688E-3</v>
      </c>
      <c r="S22" s="137"/>
    </row>
    <row r="23" spans="1:19" ht="36" x14ac:dyDescent="0.2">
      <c r="A23" s="82"/>
      <c r="B23" s="82" t="s">
        <v>922</v>
      </c>
      <c r="C23" s="95" t="s">
        <v>856</v>
      </c>
      <c r="D23" s="82" t="s">
        <v>8</v>
      </c>
      <c r="E23" s="82"/>
      <c r="F23" s="82"/>
      <c r="G23" s="87">
        <f>SUM(G24:G26)</f>
        <v>4861131.9399999995</v>
      </c>
      <c r="H23" s="87">
        <f t="shared" ref="H23:I23" si="20">SUM(H24:H26)</f>
        <v>3645848.95</v>
      </c>
      <c r="I23" s="87">
        <f t="shared" si="20"/>
        <v>1215282.99</v>
      </c>
      <c r="J23" s="87">
        <f t="shared" ref="J23:O23" si="21">SUM(J24:J25)</f>
        <v>0</v>
      </c>
      <c r="K23" s="87">
        <f t="shared" si="21"/>
        <v>129689.28</v>
      </c>
      <c r="L23" s="87">
        <f t="shared" si="21"/>
        <v>55192.66</v>
      </c>
      <c r="M23" s="87">
        <f t="shared" si="21"/>
        <v>200000</v>
      </c>
      <c r="N23" s="87">
        <f t="shared" si="21"/>
        <v>189161.79</v>
      </c>
      <c r="O23" s="87">
        <f t="shared" si="21"/>
        <v>190838.21000000002</v>
      </c>
      <c r="P23" s="87">
        <f t="shared" ref="P23:R23" si="22">SUM(P24:P25)</f>
        <v>0</v>
      </c>
      <c r="Q23" s="87">
        <f t="shared" ref="Q23" si="23">SUM(Q24:Q25)</f>
        <v>0</v>
      </c>
      <c r="R23" s="87">
        <f t="shared" si="22"/>
        <v>-1.4551915228366852E-11</v>
      </c>
      <c r="S23" s="87"/>
    </row>
    <row r="24" spans="1:19" ht="36" x14ac:dyDescent="0.2">
      <c r="A24" s="100">
        <v>14</v>
      </c>
      <c r="B24" s="100" t="s">
        <v>923</v>
      </c>
      <c r="C24" s="141" t="s">
        <v>899</v>
      </c>
      <c r="D24" s="100" t="s">
        <v>11</v>
      </c>
      <c r="E24" s="100" t="s">
        <v>836</v>
      </c>
      <c r="F24" s="100" t="s">
        <v>839</v>
      </c>
      <c r="G24" s="101">
        <f t="shared" ref="G24:G25" si="24">+H24+I24</f>
        <v>364881.94</v>
      </c>
      <c r="H24" s="101">
        <v>273661.45</v>
      </c>
      <c r="I24" s="101">
        <f t="shared" si="13"/>
        <v>91220.489999999991</v>
      </c>
      <c r="J24" s="101"/>
      <c r="K24" s="101">
        <v>9689.2800000000007</v>
      </c>
      <c r="L24" s="101">
        <v>55192.66</v>
      </c>
      <c r="M24" s="101">
        <f>100000</f>
        <v>100000</v>
      </c>
      <c r="N24" s="101">
        <f>100000</f>
        <v>100000</v>
      </c>
      <c r="O24" s="101">
        <f>100000</f>
        <v>100000</v>
      </c>
      <c r="P24" s="101">
        <v>0</v>
      </c>
      <c r="Q24" s="101">
        <v>0</v>
      </c>
      <c r="R24" s="186">
        <f t="shared" si="11"/>
        <v>0</v>
      </c>
      <c r="S24" s="137"/>
    </row>
    <row r="25" spans="1:19" ht="36" x14ac:dyDescent="0.2">
      <c r="A25" s="100">
        <v>15</v>
      </c>
      <c r="B25" s="100" t="s">
        <v>924</v>
      </c>
      <c r="C25" s="141" t="s">
        <v>857</v>
      </c>
      <c r="D25" s="100" t="s">
        <v>11</v>
      </c>
      <c r="E25" s="100" t="s">
        <v>836</v>
      </c>
      <c r="F25" s="100" t="s">
        <v>837</v>
      </c>
      <c r="G25" s="101">
        <f t="shared" si="24"/>
        <v>400000</v>
      </c>
      <c r="H25" s="101">
        <v>300000</v>
      </c>
      <c r="I25" s="101">
        <f t="shared" si="13"/>
        <v>100000</v>
      </c>
      <c r="J25" s="101"/>
      <c r="K25" s="101">
        <v>120000</v>
      </c>
      <c r="L25" s="101">
        <v>0</v>
      </c>
      <c r="M25" s="101">
        <f>100000</f>
        <v>100000</v>
      </c>
      <c r="N25" s="101">
        <f>80000+9161.79</f>
        <v>89161.790000000008</v>
      </c>
      <c r="O25" s="101">
        <f>90838.21</f>
        <v>90838.21</v>
      </c>
      <c r="P25" s="101">
        <v>0</v>
      </c>
      <c r="Q25" s="101">
        <v>0</v>
      </c>
      <c r="R25" s="186">
        <f t="shared" si="11"/>
        <v>-1.4551915228366852E-11</v>
      </c>
      <c r="S25" s="137"/>
    </row>
    <row r="26" spans="1:19" ht="36" x14ac:dyDescent="0.2">
      <c r="A26" s="100">
        <v>16</v>
      </c>
      <c r="B26" s="100" t="s">
        <v>1056</v>
      </c>
      <c r="C26" s="100" t="s">
        <v>998</v>
      </c>
      <c r="D26" s="100" t="s">
        <v>11</v>
      </c>
      <c r="E26" s="103" t="s">
        <v>836</v>
      </c>
      <c r="F26" s="100" t="s">
        <v>839</v>
      </c>
      <c r="G26" s="101">
        <f>+H26+I26</f>
        <v>4096250</v>
      </c>
      <c r="H26" s="99">
        <v>3072187.5</v>
      </c>
      <c r="I26" s="99">
        <f t="shared" si="13"/>
        <v>1024062.5</v>
      </c>
      <c r="J26" s="101"/>
      <c r="K26" s="101">
        <v>0</v>
      </c>
      <c r="L26" s="101">
        <v>0</v>
      </c>
      <c r="M26" s="101">
        <v>0</v>
      </c>
      <c r="N26" s="101">
        <v>500000</v>
      </c>
      <c r="O26" s="101">
        <v>1500000</v>
      </c>
      <c r="P26" s="101">
        <v>1000000</v>
      </c>
      <c r="Q26" s="101">
        <v>1096250</v>
      </c>
      <c r="R26" s="186">
        <f>G26-J26-K26-L26-M26-N26-O26-P26-Q26</f>
        <v>0</v>
      </c>
      <c r="S26" s="137"/>
    </row>
    <row r="27" spans="1:19" ht="24" x14ac:dyDescent="0.2">
      <c r="A27" s="120"/>
      <c r="B27" s="120" t="s">
        <v>1041</v>
      </c>
      <c r="C27" s="121" t="s">
        <v>1042</v>
      </c>
      <c r="D27" s="120" t="s">
        <v>847</v>
      </c>
      <c r="E27" s="120"/>
      <c r="F27" s="120"/>
      <c r="G27" s="122">
        <f t="shared" ref="G27:R27" si="25">+G28+G31+G35+G38</f>
        <v>23909135.228</v>
      </c>
      <c r="H27" s="122">
        <f t="shared" si="25"/>
        <v>21518221.697999999</v>
      </c>
      <c r="I27" s="122">
        <f t="shared" si="25"/>
        <v>2390913.5299999998</v>
      </c>
      <c r="J27" s="122">
        <f t="shared" si="25"/>
        <v>0</v>
      </c>
      <c r="K27" s="122">
        <f t="shared" si="25"/>
        <v>0</v>
      </c>
      <c r="L27" s="122">
        <f t="shared" si="25"/>
        <v>0</v>
      </c>
      <c r="M27" s="122">
        <f t="shared" si="25"/>
        <v>0</v>
      </c>
      <c r="N27" s="122">
        <f t="shared" si="25"/>
        <v>5751651.4399999995</v>
      </c>
      <c r="O27" s="122">
        <f t="shared" si="25"/>
        <v>6818501.0800000001</v>
      </c>
      <c r="P27" s="122">
        <f t="shared" si="25"/>
        <v>5508393.3600000003</v>
      </c>
      <c r="Q27" s="122">
        <f t="shared" si="25"/>
        <v>5830589.3500000006</v>
      </c>
      <c r="R27" s="122">
        <f t="shared" si="25"/>
        <v>-1.999999862164259E-3</v>
      </c>
      <c r="S27" s="122"/>
    </row>
    <row r="28" spans="1:19" x14ac:dyDescent="0.2">
      <c r="A28" s="81"/>
      <c r="B28" s="81" t="s">
        <v>1043</v>
      </c>
      <c r="C28" s="94" t="s">
        <v>848</v>
      </c>
      <c r="D28" s="81" t="s">
        <v>8</v>
      </c>
      <c r="E28" s="81"/>
      <c r="F28" s="81"/>
      <c r="G28" s="85">
        <f t="shared" ref="G28:O28" si="26">SUM(G29:G30)</f>
        <v>16612962.228</v>
      </c>
      <c r="H28" s="85">
        <f t="shared" si="26"/>
        <v>14951665.998</v>
      </c>
      <c r="I28" s="85">
        <f t="shared" si="26"/>
        <v>1661296.23</v>
      </c>
      <c r="J28" s="85">
        <f t="shared" si="26"/>
        <v>0</v>
      </c>
      <c r="K28" s="85">
        <f t="shared" si="26"/>
        <v>0</v>
      </c>
      <c r="L28" s="85">
        <f t="shared" si="26"/>
        <v>0</v>
      </c>
      <c r="M28" s="85">
        <f t="shared" si="26"/>
        <v>0</v>
      </c>
      <c r="N28" s="85">
        <f t="shared" si="26"/>
        <v>3753172.59</v>
      </c>
      <c r="O28" s="85">
        <f t="shared" si="26"/>
        <v>4152500</v>
      </c>
      <c r="P28" s="85">
        <f t="shared" ref="P28:R28" si="27">SUM(P29:P30)</f>
        <v>4152500</v>
      </c>
      <c r="Q28" s="85">
        <f t="shared" ref="Q28" si="28">SUM(Q29:Q30)</f>
        <v>4554789.6400000006</v>
      </c>
      <c r="R28" s="85">
        <f t="shared" si="27"/>
        <v>-1.999999862164259E-3</v>
      </c>
      <c r="S28" s="85"/>
    </row>
    <row r="29" spans="1:19" ht="24" x14ac:dyDescent="0.2">
      <c r="A29" s="100">
        <v>17</v>
      </c>
      <c r="B29" s="100" t="s">
        <v>1057</v>
      </c>
      <c r="C29" s="100" t="s">
        <v>1007</v>
      </c>
      <c r="D29" s="100" t="s">
        <v>11</v>
      </c>
      <c r="E29" s="103" t="s">
        <v>836</v>
      </c>
      <c r="F29" s="100" t="s">
        <v>839</v>
      </c>
      <c r="G29" s="191">
        <f>+H29+I29</f>
        <v>14062962.228</v>
      </c>
      <c r="H29" s="191">
        <f>15311665.998-2295000-360000</f>
        <v>12656665.998</v>
      </c>
      <c r="I29" s="191">
        <v>1406296.23</v>
      </c>
      <c r="J29" s="191"/>
      <c r="K29" s="191">
        <v>0</v>
      </c>
      <c r="L29" s="191">
        <v>0</v>
      </c>
      <c r="M29" s="191">
        <v>0</v>
      </c>
      <c r="N29" s="134">
        <v>3115672.59</v>
      </c>
      <c r="O29" s="101">
        <v>3515000</v>
      </c>
      <c r="P29" s="101">
        <v>3515000</v>
      </c>
      <c r="Q29" s="101">
        <v>3917289.64</v>
      </c>
      <c r="R29" s="186">
        <f t="shared" ref="R29:R30" si="29">+G29-J29-K29-L29-M29-N29-O29-P29-Q29</f>
        <v>-1.999999862164259E-3</v>
      </c>
      <c r="S29" s="137"/>
    </row>
    <row r="30" spans="1:19" ht="36" x14ac:dyDescent="0.2">
      <c r="A30" s="100">
        <v>18</v>
      </c>
      <c r="B30" s="100" t="s">
        <v>1058</v>
      </c>
      <c r="C30" s="100" t="s">
        <v>1011</v>
      </c>
      <c r="D30" s="100" t="s">
        <v>11</v>
      </c>
      <c r="E30" s="103" t="s">
        <v>836</v>
      </c>
      <c r="F30" s="100" t="s">
        <v>839</v>
      </c>
      <c r="G30" s="191">
        <f>+H30+I30</f>
        <v>2550000</v>
      </c>
      <c r="H30" s="191">
        <v>2295000</v>
      </c>
      <c r="I30" s="191">
        <v>255000</v>
      </c>
      <c r="J30" s="191"/>
      <c r="K30" s="191">
        <v>0</v>
      </c>
      <c r="L30" s="191">
        <v>0</v>
      </c>
      <c r="M30" s="191">
        <v>0</v>
      </c>
      <c r="N30" s="134">
        <v>637500</v>
      </c>
      <c r="O30" s="101">
        <v>637500</v>
      </c>
      <c r="P30" s="101">
        <v>637500</v>
      </c>
      <c r="Q30" s="101">
        <v>637500</v>
      </c>
      <c r="R30" s="186">
        <f t="shared" si="29"/>
        <v>0</v>
      </c>
      <c r="S30" s="137"/>
    </row>
    <row r="31" spans="1:19" x14ac:dyDescent="0.2">
      <c r="A31" s="81"/>
      <c r="B31" s="81" t="s">
        <v>1044</v>
      </c>
      <c r="C31" s="94" t="s">
        <v>853</v>
      </c>
      <c r="D31" s="81" t="s">
        <v>8</v>
      </c>
      <c r="E31" s="81"/>
      <c r="F31" s="81"/>
      <c r="G31" s="85">
        <f>+G32+G33+G34</f>
        <v>2400000</v>
      </c>
      <c r="H31" s="85">
        <f t="shared" ref="H31:O31" si="30">+H32+H33+H34</f>
        <v>2160000</v>
      </c>
      <c r="I31" s="85">
        <f t="shared" si="30"/>
        <v>240000</v>
      </c>
      <c r="J31" s="85">
        <f t="shared" si="30"/>
        <v>0</v>
      </c>
      <c r="K31" s="85">
        <f t="shared" si="30"/>
        <v>0</v>
      </c>
      <c r="L31" s="85">
        <f t="shared" si="30"/>
        <v>0</v>
      </c>
      <c r="M31" s="85">
        <f t="shared" si="30"/>
        <v>0</v>
      </c>
      <c r="N31" s="85">
        <f t="shared" si="30"/>
        <v>600000</v>
      </c>
      <c r="O31" s="85">
        <f t="shared" si="30"/>
        <v>1516666</v>
      </c>
      <c r="P31" s="85">
        <f t="shared" ref="P31:R31" si="31">+P32+P33+P34</f>
        <v>183334</v>
      </c>
      <c r="Q31" s="85">
        <f t="shared" ref="Q31" si="32">+Q32+Q33+Q34</f>
        <v>100000</v>
      </c>
      <c r="R31" s="85">
        <f t="shared" si="31"/>
        <v>0</v>
      </c>
      <c r="S31" s="85"/>
    </row>
    <row r="32" spans="1:19" ht="36" x14ac:dyDescent="0.2">
      <c r="A32" s="100">
        <v>19</v>
      </c>
      <c r="B32" s="100" t="s">
        <v>1059</v>
      </c>
      <c r="C32" s="100" t="s">
        <v>1003</v>
      </c>
      <c r="D32" s="100" t="s">
        <v>11</v>
      </c>
      <c r="E32" s="190"/>
      <c r="F32" s="100" t="s">
        <v>837</v>
      </c>
      <c r="G32" s="101">
        <f>+H32+I32</f>
        <v>200000</v>
      </c>
      <c r="H32" s="99">
        <v>180000</v>
      </c>
      <c r="I32" s="191">
        <f t="shared" ref="I32:I39" si="33">ROUNDUP(H32/9,2)</f>
        <v>20000</v>
      </c>
      <c r="J32" s="101"/>
      <c r="K32" s="101">
        <v>0</v>
      </c>
      <c r="L32" s="101">
        <v>0</v>
      </c>
      <c r="M32" s="101">
        <v>0</v>
      </c>
      <c r="N32" s="101">
        <v>50000</v>
      </c>
      <c r="O32" s="101">
        <v>50000</v>
      </c>
      <c r="P32" s="101">
        <v>50000</v>
      </c>
      <c r="Q32" s="101">
        <v>50000</v>
      </c>
      <c r="R32" s="186">
        <f t="shared" ref="R32:R34" si="34">+G32-J32-K32-L32-M32-N32-O32-P32-Q32</f>
        <v>0</v>
      </c>
      <c r="S32" s="137"/>
    </row>
    <row r="33" spans="1:19" ht="24" x14ac:dyDescent="0.2">
      <c r="A33" s="100">
        <v>20</v>
      </c>
      <c r="B33" s="100" t="s">
        <v>1060</v>
      </c>
      <c r="C33" s="100" t="s">
        <v>1008</v>
      </c>
      <c r="D33" s="100" t="s">
        <v>11</v>
      </c>
      <c r="E33" s="100" t="s">
        <v>905</v>
      </c>
      <c r="F33" s="100" t="s">
        <v>837</v>
      </c>
      <c r="G33" s="101">
        <f>+H33+I33</f>
        <v>200000</v>
      </c>
      <c r="H33" s="99">
        <v>180000</v>
      </c>
      <c r="I33" s="191">
        <f t="shared" si="33"/>
        <v>20000</v>
      </c>
      <c r="J33" s="101"/>
      <c r="K33" s="101">
        <v>0</v>
      </c>
      <c r="L33" s="101">
        <v>0</v>
      </c>
      <c r="M33" s="101">
        <v>0</v>
      </c>
      <c r="N33" s="101">
        <v>50000</v>
      </c>
      <c r="O33" s="101">
        <v>50000</v>
      </c>
      <c r="P33" s="101">
        <v>50000</v>
      </c>
      <c r="Q33" s="101">
        <v>50000</v>
      </c>
      <c r="R33" s="186">
        <f t="shared" si="34"/>
        <v>0</v>
      </c>
      <c r="S33" s="137"/>
    </row>
    <row r="34" spans="1:19" ht="36" x14ac:dyDescent="0.2">
      <c r="A34" s="100">
        <v>21</v>
      </c>
      <c r="B34" s="100" t="s">
        <v>1061</v>
      </c>
      <c r="C34" s="100" t="s">
        <v>1001</v>
      </c>
      <c r="D34" s="100" t="s">
        <v>11</v>
      </c>
      <c r="E34" s="100" t="s">
        <v>905</v>
      </c>
      <c r="F34" s="100" t="s">
        <v>839</v>
      </c>
      <c r="G34" s="101">
        <f>+H34+I34</f>
        <v>2000000</v>
      </c>
      <c r="H34" s="99">
        <v>1800000</v>
      </c>
      <c r="I34" s="191">
        <f t="shared" si="33"/>
        <v>200000</v>
      </c>
      <c r="J34" s="101"/>
      <c r="K34" s="101">
        <v>0</v>
      </c>
      <c r="L34" s="101">
        <v>0</v>
      </c>
      <c r="M34" s="101">
        <v>0</v>
      </c>
      <c r="N34" s="101">
        <v>500000</v>
      </c>
      <c r="O34" s="101">
        <v>1416666</v>
      </c>
      <c r="P34" s="101">
        <v>83334</v>
      </c>
      <c r="Q34" s="101">
        <v>0</v>
      </c>
      <c r="R34" s="186">
        <f t="shared" si="34"/>
        <v>0</v>
      </c>
      <c r="S34" s="137"/>
    </row>
    <row r="35" spans="1:19" x14ac:dyDescent="0.2">
      <c r="A35" s="81"/>
      <c r="B35" s="81" t="s">
        <v>1045</v>
      </c>
      <c r="C35" s="94" t="s">
        <v>854</v>
      </c>
      <c r="D35" s="81" t="s">
        <v>8</v>
      </c>
      <c r="E35" s="81"/>
      <c r="F35" s="81"/>
      <c r="G35" s="85">
        <f>SUM(G36:G37)</f>
        <v>4446173</v>
      </c>
      <c r="H35" s="85">
        <f>SUM(H36:H37)</f>
        <v>4001555.7</v>
      </c>
      <c r="I35" s="85">
        <f>SUM(I36:I37)</f>
        <v>444617.3</v>
      </c>
      <c r="J35" s="85">
        <f t="shared" ref="J35:R35" si="35">SUM(J36:J37)</f>
        <v>0</v>
      </c>
      <c r="K35" s="85">
        <f t="shared" si="35"/>
        <v>0</v>
      </c>
      <c r="L35" s="85">
        <f t="shared" si="35"/>
        <v>0</v>
      </c>
      <c r="M35" s="85">
        <f t="shared" si="35"/>
        <v>0</v>
      </c>
      <c r="N35" s="85">
        <f t="shared" si="35"/>
        <v>1323478.8500000001</v>
      </c>
      <c r="O35" s="85">
        <f t="shared" si="35"/>
        <v>1074335.08</v>
      </c>
      <c r="P35" s="85">
        <f t="shared" si="35"/>
        <v>1022559.36</v>
      </c>
      <c r="Q35" s="85">
        <f t="shared" si="35"/>
        <v>1025799.71</v>
      </c>
      <c r="R35" s="85">
        <f t="shared" si="35"/>
        <v>0</v>
      </c>
      <c r="S35" s="85"/>
    </row>
    <row r="36" spans="1:19" ht="36" x14ac:dyDescent="0.2">
      <c r="A36" s="100">
        <v>22</v>
      </c>
      <c r="B36" s="100" t="s">
        <v>1062</v>
      </c>
      <c r="C36" s="100" t="s">
        <v>1002</v>
      </c>
      <c r="D36" s="100" t="s">
        <v>11</v>
      </c>
      <c r="E36" s="192" t="s">
        <v>1016</v>
      </c>
      <c r="F36" s="100" t="s">
        <v>837</v>
      </c>
      <c r="G36" s="101">
        <f t="shared" ref="G36" si="36">+H36+I36</f>
        <v>500000</v>
      </c>
      <c r="H36" s="99">
        <f>90000+360000</f>
        <v>450000</v>
      </c>
      <c r="I36" s="101">
        <f t="shared" si="33"/>
        <v>50000</v>
      </c>
      <c r="J36" s="101"/>
      <c r="K36" s="101">
        <v>0</v>
      </c>
      <c r="L36" s="101">
        <v>0</v>
      </c>
      <c r="M36" s="101">
        <v>0</v>
      </c>
      <c r="N36" s="101">
        <v>125000</v>
      </c>
      <c r="O36" s="101">
        <v>125000</v>
      </c>
      <c r="P36" s="101">
        <v>125000</v>
      </c>
      <c r="Q36" s="101">
        <v>125000</v>
      </c>
      <c r="R36" s="186">
        <f t="shared" ref="R36:R37" si="37">+G36-J36-K36-L36-M36-N36-O36-P36-Q36</f>
        <v>0</v>
      </c>
      <c r="S36" s="137"/>
    </row>
    <row r="37" spans="1:19" ht="84" x14ac:dyDescent="0.2">
      <c r="A37" s="100">
        <v>23</v>
      </c>
      <c r="B37" s="100" t="s">
        <v>1063</v>
      </c>
      <c r="C37" s="100" t="s">
        <v>1005</v>
      </c>
      <c r="D37" s="100" t="s">
        <v>11</v>
      </c>
      <c r="E37" s="103" t="s">
        <v>1006</v>
      </c>
      <c r="F37" s="100" t="s">
        <v>839</v>
      </c>
      <c r="G37" s="101">
        <f t="shared" ref="G37" si="38">+H37+I37</f>
        <v>3946173</v>
      </c>
      <c r="H37" s="99">
        <v>3551555.7</v>
      </c>
      <c r="I37" s="101">
        <v>394617.3</v>
      </c>
      <c r="J37" s="101"/>
      <c r="K37" s="101">
        <v>0</v>
      </c>
      <c r="L37" s="101">
        <v>0</v>
      </c>
      <c r="M37" s="101">
        <v>0</v>
      </c>
      <c r="N37" s="148">
        <v>1198478.8500000001</v>
      </c>
      <c r="O37" s="148">
        <v>949335.08</v>
      </c>
      <c r="P37" s="148">
        <v>897559.36</v>
      </c>
      <c r="Q37" s="148">
        <v>900799.71</v>
      </c>
      <c r="R37" s="186">
        <f t="shared" si="37"/>
        <v>0</v>
      </c>
      <c r="S37" s="137"/>
    </row>
    <row r="38" spans="1:19" x14ac:dyDescent="0.2">
      <c r="A38" s="82"/>
      <c r="B38" s="82" t="s">
        <v>1046</v>
      </c>
      <c r="C38" s="95" t="s">
        <v>860</v>
      </c>
      <c r="D38" s="82" t="s">
        <v>8</v>
      </c>
      <c r="E38" s="82"/>
      <c r="F38" s="82"/>
      <c r="G38" s="87">
        <f>+G39</f>
        <v>450000</v>
      </c>
      <c r="H38" s="87">
        <f t="shared" ref="H38:R38" si="39">+H39</f>
        <v>405000</v>
      </c>
      <c r="I38" s="87">
        <f t="shared" si="39"/>
        <v>45000</v>
      </c>
      <c r="J38" s="87">
        <f t="shared" si="39"/>
        <v>0</v>
      </c>
      <c r="K38" s="87">
        <f t="shared" si="39"/>
        <v>0</v>
      </c>
      <c r="L38" s="87">
        <f t="shared" si="39"/>
        <v>0</v>
      </c>
      <c r="M38" s="87">
        <f t="shared" si="39"/>
        <v>0</v>
      </c>
      <c r="N38" s="87">
        <f t="shared" si="39"/>
        <v>75000</v>
      </c>
      <c r="O38" s="87">
        <f t="shared" si="39"/>
        <v>75000</v>
      </c>
      <c r="P38" s="87">
        <f t="shared" si="39"/>
        <v>150000</v>
      </c>
      <c r="Q38" s="87">
        <f t="shared" si="39"/>
        <v>150000</v>
      </c>
      <c r="R38" s="87">
        <f t="shared" si="39"/>
        <v>0</v>
      </c>
      <c r="S38" s="87"/>
    </row>
    <row r="39" spans="1:19" ht="24" x14ac:dyDescent="0.2">
      <c r="A39" s="100">
        <v>24</v>
      </c>
      <c r="B39" s="100" t="s">
        <v>1064</v>
      </c>
      <c r="C39" s="100" t="s">
        <v>1004</v>
      </c>
      <c r="D39" s="103"/>
      <c r="E39" s="100" t="s">
        <v>905</v>
      </c>
      <c r="F39" s="100" t="s">
        <v>839</v>
      </c>
      <c r="G39" s="101">
        <f t="shared" ref="G39" si="40">+H39+I39</f>
        <v>450000</v>
      </c>
      <c r="H39" s="99">
        <v>405000</v>
      </c>
      <c r="I39" s="191">
        <f t="shared" si="33"/>
        <v>45000</v>
      </c>
      <c r="J39" s="101"/>
      <c r="K39" s="101">
        <v>0</v>
      </c>
      <c r="L39" s="101">
        <v>0</v>
      </c>
      <c r="M39" s="101">
        <v>0</v>
      </c>
      <c r="N39" s="101">
        <v>75000</v>
      </c>
      <c r="O39" s="101">
        <v>75000</v>
      </c>
      <c r="P39" s="101">
        <v>150000</v>
      </c>
      <c r="Q39" s="101">
        <v>150000</v>
      </c>
      <c r="R39" s="186">
        <f t="shared" ref="R39" si="41">+G39-J39-K39-L39-M39-N39-O39-P39-Q39</f>
        <v>0</v>
      </c>
      <c r="S39" s="137"/>
    </row>
    <row r="40" spans="1:19" ht="24" x14ac:dyDescent="0.2">
      <c r="A40" s="120"/>
      <c r="B40" s="120" t="s">
        <v>925</v>
      </c>
      <c r="C40" s="121" t="s">
        <v>858</v>
      </c>
      <c r="D40" s="120" t="s">
        <v>847</v>
      </c>
      <c r="E40" s="120"/>
      <c r="F40" s="120"/>
      <c r="G40" s="122">
        <f>+G41</f>
        <v>8633333.3399999999</v>
      </c>
      <c r="H40" s="122">
        <f t="shared" ref="H40:R40" si="42">+H41</f>
        <v>7770000</v>
      </c>
      <c r="I40" s="122">
        <f t="shared" si="42"/>
        <v>863333.34000000008</v>
      </c>
      <c r="J40" s="122">
        <f t="shared" si="42"/>
        <v>0</v>
      </c>
      <c r="K40" s="122">
        <f t="shared" si="42"/>
        <v>7407.02</v>
      </c>
      <c r="L40" s="122">
        <f>+L41</f>
        <v>1268200.51</v>
      </c>
      <c r="M40" s="122">
        <f t="shared" si="42"/>
        <v>2093000</v>
      </c>
      <c r="N40" s="122">
        <f t="shared" si="42"/>
        <v>2343700</v>
      </c>
      <c r="O40" s="122">
        <f t="shared" si="42"/>
        <v>2534575.9300000002</v>
      </c>
      <c r="P40" s="122">
        <f t="shared" si="42"/>
        <v>343700</v>
      </c>
      <c r="Q40" s="122">
        <f t="shared" si="42"/>
        <v>42749.88</v>
      </c>
      <c r="R40" s="122">
        <f t="shared" si="42"/>
        <v>-1.1641532182693481E-10</v>
      </c>
      <c r="S40" s="122"/>
    </row>
    <row r="41" spans="1:19" x14ac:dyDescent="0.2">
      <c r="A41" s="82"/>
      <c r="B41" s="82" t="s">
        <v>926</v>
      </c>
      <c r="C41" s="95" t="s">
        <v>860</v>
      </c>
      <c r="D41" s="82" t="s">
        <v>8</v>
      </c>
      <c r="E41" s="82"/>
      <c r="F41" s="82"/>
      <c r="G41" s="87">
        <f>+G42+G43+G44</f>
        <v>8633333.3399999999</v>
      </c>
      <c r="H41" s="87">
        <f t="shared" ref="H41:O41" si="43">+H42+H43+H44</f>
        <v>7770000</v>
      </c>
      <c r="I41" s="87">
        <f t="shared" si="43"/>
        <v>863333.34000000008</v>
      </c>
      <c r="J41" s="87">
        <f t="shared" si="43"/>
        <v>0</v>
      </c>
      <c r="K41" s="87">
        <f t="shared" si="43"/>
        <v>7407.02</v>
      </c>
      <c r="L41" s="87">
        <f t="shared" si="43"/>
        <v>1268200.51</v>
      </c>
      <c r="M41" s="87">
        <f t="shared" si="43"/>
        <v>2093000</v>
      </c>
      <c r="N41" s="87">
        <f t="shared" si="43"/>
        <v>2343700</v>
      </c>
      <c r="O41" s="87">
        <f t="shared" si="43"/>
        <v>2534575.9300000002</v>
      </c>
      <c r="P41" s="87">
        <f t="shared" ref="P41:R41" si="44">+P42+P43+P44</f>
        <v>343700</v>
      </c>
      <c r="Q41" s="87">
        <f t="shared" ref="Q41" si="45">+Q42+Q43+Q44</f>
        <v>42749.88</v>
      </c>
      <c r="R41" s="87">
        <f t="shared" si="44"/>
        <v>-1.1641532182693481E-10</v>
      </c>
      <c r="S41" s="87"/>
    </row>
    <row r="42" spans="1:19" ht="24" x14ac:dyDescent="0.2">
      <c r="A42" s="100">
        <v>25</v>
      </c>
      <c r="B42" s="100" t="s">
        <v>927</v>
      </c>
      <c r="C42" s="102" t="s">
        <v>861</v>
      </c>
      <c r="D42" s="100" t="s">
        <v>11</v>
      </c>
      <c r="E42" s="100" t="s">
        <v>905</v>
      </c>
      <c r="F42" s="100" t="s">
        <v>839</v>
      </c>
      <c r="G42" s="101">
        <f t="shared" ref="G42:G44" si="46">+H42+I42</f>
        <v>466666.67</v>
      </c>
      <c r="H42" s="101">
        <v>420000</v>
      </c>
      <c r="I42" s="101">
        <f>ROUNDUP(H42/9,2)</f>
        <v>46666.670000000006</v>
      </c>
      <c r="J42" s="101"/>
      <c r="K42" s="101">
        <v>7407.02</v>
      </c>
      <c r="L42" s="101">
        <v>42409.77</v>
      </c>
      <c r="M42" s="101">
        <v>93000</v>
      </c>
      <c r="N42" s="101">
        <v>93700</v>
      </c>
      <c r="O42" s="101">
        <v>93700</v>
      </c>
      <c r="P42" s="101">
        <v>93700</v>
      </c>
      <c r="Q42" s="101">
        <v>42749.88</v>
      </c>
      <c r="R42" s="186">
        <f t="shared" ref="R42:R44" si="47">+G42-J42-K42-L42-M42-N42-O42-P42-Q42</f>
        <v>0</v>
      </c>
      <c r="S42" s="101"/>
    </row>
    <row r="43" spans="1:19" ht="24" x14ac:dyDescent="0.2">
      <c r="A43" s="100">
        <v>26</v>
      </c>
      <c r="B43" s="100" t="s">
        <v>928</v>
      </c>
      <c r="C43" s="141" t="s">
        <v>862</v>
      </c>
      <c r="D43" s="100" t="s">
        <v>11</v>
      </c>
      <c r="E43" s="100" t="s">
        <v>836</v>
      </c>
      <c r="F43" s="100" t="s">
        <v>839</v>
      </c>
      <c r="G43" s="112">
        <f t="shared" si="46"/>
        <v>7000000</v>
      </c>
      <c r="H43" s="101">
        <v>6300000</v>
      </c>
      <c r="I43" s="101">
        <f t="shared" ref="I43:I44" si="48">ROUNDUP(H43/9,2)</f>
        <v>700000</v>
      </c>
      <c r="J43" s="101"/>
      <c r="K43" s="101">
        <v>0</v>
      </c>
      <c r="L43" s="101">
        <v>1127299.21</v>
      </c>
      <c r="M43" s="101">
        <f>1900000-100000</f>
        <v>1800000</v>
      </c>
      <c r="N43" s="101">
        <f>1900000</f>
        <v>1900000</v>
      </c>
      <c r="O43" s="101">
        <f>1700000+772700.79-400000</f>
        <v>2072700.79</v>
      </c>
      <c r="P43" s="101">
        <v>100000</v>
      </c>
      <c r="Q43" s="101">
        <v>0</v>
      </c>
      <c r="R43" s="186">
        <f t="shared" si="47"/>
        <v>0</v>
      </c>
      <c r="S43" s="137"/>
    </row>
    <row r="44" spans="1:19" ht="36" x14ac:dyDescent="0.2">
      <c r="A44" s="100">
        <v>27</v>
      </c>
      <c r="B44" s="100" t="s">
        <v>929</v>
      </c>
      <c r="C44" s="141" t="s">
        <v>863</v>
      </c>
      <c r="D44" s="100" t="s">
        <v>11</v>
      </c>
      <c r="E44" s="100" t="s">
        <v>836</v>
      </c>
      <c r="F44" s="100" t="s">
        <v>837</v>
      </c>
      <c r="G44" s="112">
        <f t="shared" si="46"/>
        <v>1166666.67</v>
      </c>
      <c r="H44" s="101">
        <v>1050000</v>
      </c>
      <c r="I44" s="101">
        <f t="shared" si="48"/>
        <v>116666.67</v>
      </c>
      <c r="J44" s="101"/>
      <c r="K44" s="101">
        <v>0</v>
      </c>
      <c r="L44" s="101">
        <v>98491.53</v>
      </c>
      <c r="M44" s="101">
        <v>200000</v>
      </c>
      <c r="N44" s="101">
        <f>350000</f>
        <v>350000</v>
      </c>
      <c r="O44" s="101">
        <f>368175.14</f>
        <v>368175.14</v>
      </c>
      <c r="P44" s="101">
        <v>150000</v>
      </c>
      <c r="Q44" s="101">
        <v>0</v>
      </c>
      <c r="R44" s="186">
        <f t="shared" si="47"/>
        <v>-1.1641532182693481E-10</v>
      </c>
      <c r="S44" s="137"/>
    </row>
    <row r="45" spans="1:19" ht="24" x14ac:dyDescent="0.2">
      <c r="A45" s="120"/>
      <c r="B45" s="120" t="s">
        <v>930</v>
      </c>
      <c r="C45" s="121" t="s">
        <v>864</v>
      </c>
      <c r="D45" s="120" t="s">
        <v>847</v>
      </c>
      <c r="E45" s="120"/>
      <c r="F45" s="120"/>
      <c r="G45" s="122">
        <f>+G46</f>
        <v>3006775</v>
      </c>
      <c r="H45" s="122">
        <f t="shared" ref="H45:R45" si="49">+H46</f>
        <v>3006775</v>
      </c>
      <c r="I45" s="122">
        <f t="shared" si="49"/>
        <v>0</v>
      </c>
      <c r="J45" s="122">
        <f t="shared" si="49"/>
        <v>0</v>
      </c>
      <c r="K45" s="122">
        <f t="shared" si="49"/>
        <v>0</v>
      </c>
      <c r="L45" s="122">
        <f t="shared" si="49"/>
        <v>0</v>
      </c>
      <c r="M45" s="122">
        <f t="shared" si="49"/>
        <v>228550</v>
      </c>
      <c r="N45" s="122">
        <f t="shared" si="49"/>
        <v>600000</v>
      </c>
      <c r="O45" s="122">
        <f t="shared" si="49"/>
        <v>928000</v>
      </c>
      <c r="P45" s="122">
        <f t="shared" si="49"/>
        <v>628000</v>
      </c>
      <c r="Q45" s="122">
        <f t="shared" si="49"/>
        <v>622225</v>
      </c>
      <c r="R45" s="122">
        <f t="shared" si="49"/>
        <v>0</v>
      </c>
      <c r="S45" s="122"/>
    </row>
    <row r="46" spans="1:19" x14ac:dyDescent="0.2">
      <c r="A46" s="82"/>
      <c r="B46" s="82" t="s">
        <v>931</v>
      </c>
      <c r="C46" s="95" t="s">
        <v>408</v>
      </c>
      <c r="D46" s="82" t="s">
        <v>8</v>
      </c>
      <c r="E46" s="82"/>
      <c r="F46" s="82"/>
      <c r="G46" s="87">
        <f t="shared" ref="G46:O46" si="50">SUM(G47:G48)</f>
        <v>3006775</v>
      </c>
      <c r="H46" s="87">
        <f t="shared" si="50"/>
        <v>3006775</v>
      </c>
      <c r="I46" s="87">
        <f t="shared" si="50"/>
        <v>0</v>
      </c>
      <c r="J46" s="87">
        <f t="shared" si="50"/>
        <v>0</v>
      </c>
      <c r="K46" s="87">
        <f t="shared" si="50"/>
        <v>0</v>
      </c>
      <c r="L46" s="87">
        <f t="shared" si="50"/>
        <v>0</v>
      </c>
      <c r="M46" s="87">
        <f t="shared" si="50"/>
        <v>228550</v>
      </c>
      <c r="N46" s="87">
        <f t="shared" si="50"/>
        <v>600000</v>
      </c>
      <c r="O46" s="87">
        <f t="shared" si="50"/>
        <v>928000</v>
      </c>
      <c r="P46" s="87">
        <f t="shared" ref="P46:R46" si="51">SUM(P47:P48)</f>
        <v>628000</v>
      </c>
      <c r="Q46" s="87">
        <f t="shared" ref="Q46" si="52">SUM(Q47:Q48)</f>
        <v>622225</v>
      </c>
      <c r="R46" s="87">
        <f t="shared" si="51"/>
        <v>0</v>
      </c>
      <c r="S46" s="87"/>
    </row>
    <row r="47" spans="1:19" ht="24" x14ac:dyDescent="0.2">
      <c r="A47" s="100">
        <v>28</v>
      </c>
      <c r="B47" s="100" t="s">
        <v>932</v>
      </c>
      <c r="C47" s="100" t="s">
        <v>1015</v>
      </c>
      <c r="D47" s="100" t="s">
        <v>11</v>
      </c>
      <c r="E47" s="100" t="s">
        <v>905</v>
      </c>
      <c r="F47" s="100" t="s">
        <v>839</v>
      </c>
      <c r="G47" s="101">
        <f>+H47+I47</f>
        <v>1422000</v>
      </c>
      <c r="H47" s="101">
        <v>1422000</v>
      </c>
      <c r="I47" s="101">
        <v>0</v>
      </c>
      <c r="J47" s="101"/>
      <c r="K47" s="101">
        <v>0</v>
      </c>
      <c r="L47" s="101">
        <v>0</v>
      </c>
      <c r="M47" s="101">
        <f>210000+18550</f>
        <v>228550</v>
      </c>
      <c r="N47" s="101">
        <v>300000</v>
      </c>
      <c r="O47" s="101">
        <v>300000</v>
      </c>
      <c r="P47" s="101">
        <v>300000</v>
      </c>
      <c r="Q47" s="101">
        <v>293450</v>
      </c>
      <c r="R47" s="186">
        <f t="shared" ref="R47:R48" si="53">+G47-J47-K47-L47-M47-N47-O47-P47-Q47</f>
        <v>0</v>
      </c>
      <c r="S47" s="101"/>
    </row>
    <row r="48" spans="1:19" ht="36" x14ac:dyDescent="0.2">
      <c r="A48" s="100">
        <v>29</v>
      </c>
      <c r="B48" s="100" t="s">
        <v>933</v>
      </c>
      <c r="C48" s="100" t="s">
        <v>901</v>
      </c>
      <c r="D48" s="103" t="s">
        <v>11</v>
      </c>
      <c r="E48" s="103" t="s">
        <v>836</v>
      </c>
      <c r="F48" s="100" t="s">
        <v>839</v>
      </c>
      <c r="G48" s="101">
        <f>+H48+I48</f>
        <v>1584775</v>
      </c>
      <c r="H48" s="99">
        <v>1584775</v>
      </c>
      <c r="I48" s="101">
        <v>0</v>
      </c>
      <c r="J48" s="101"/>
      <c r="K48" s="101">
        <v>0</v>
      </c>
      <c r="L48" s="101">
        <v>0</v>
      </c>
      <c r="M48" s="101">
        <v>0</v>
      </c>
      <c r="N48" s="101">
        <f>300000</f>
        <v>300000</v>
      </c>
      <c r="O48" s="101">
        <f>300000+328000</f>
        <v>628000</v>
      </c>
      <c r="P48" s="101">
        <v>328000</v>
      </c>
      <c r="Q48" s="101">
        <v>328775</v>
      </c>
      <c r="R48" s="186">
        <f t="shared" si="53"/>
        <v>0</v>
      </c>
      <c r="S48" s="101"/>
    </row>
    <row r="49" spans="1:20" ht="24" x14ac:dyDescent="0.2">
      <c r="A49" s="88"/>
      <c r="B49" s="88" t="s">
        <v>934</v>
      </c>
      <c r="C49" s="93" t="s">
        <v>103</v>
      </c>
      <c r="D49" s="88" t="s">
        <v>2</v>
      </c>
      <c r="E49" s="88"/>
      <c r="F49" s="88"/>
      <c r="G49" s="89">
        <f t="shared" ref="G49:R49" si="54">+G50+G73</f>
        <v>23217755.759999998</v>
      </c>
      <c r="H49" s="89">
        <f t="shared" si="54"/>
        <v>17588316.789999999</v>
      </c>
      <c r="I49" s="89">
        <f t="shared" si="54"/>
        <v>5629438.9699999988</v>
      </c>
      <c r="J49" s="89">
        <f t="shared" si="54"/>
        <v>0</v>
      </c>
      <c r="K49" s="89">
        <f t="shared" si="54"/>
        <v>1310171</v>
      </c>
      <c r="L49" s="89">
        <f t="shared" si="54"/>
        <v>4626171.18</v>
      </c>
      <c r="M49" s="89">
        <f t="shared" si="54"/>
        <v>6679777.6699999999</v>
      </c>
      <c r="N49" s="89">
        <f t="shared" si="54"/>
        <v>5698680.1732999999</v>
      </c>
      <c r="O49" s="89">
        <f t="shared" si="54"/>
        <v>2326067.2833000002</v>
      </c>
      <c r="P49" s="89">
        <f t="shared" si="54"/>
        <v>916888.45</v>
      </c>
      <c r="Q49" s="89">
        <f t="shared" si="54"/>
        <v>100000</v>
      </c>
      <c r="R49" s="89">
        <f t="shared" si="54"/>
        <v>3.4000004197878297E-3</v>
      </c>
      <c r="S49" s="89"/>
    </row>
    <row r="50" spans="1:20" ht="24" x14ac:dyDescent="0.2">
      <c r="A50" s="120"/>
      <c r="B50" s="120" t="s">
        <v>935</v>
      </c>
      <c r="C50" s="121" t="s">
        <v>859</v>
      </c>
      <c r="D50" s="120" t="s">
        <v>847</v>
      </c>
      <c r="E50" s="120"/>
      <c r="F50" s="120"/>
      <c r="G50" s="122">
        <f t="shared" ref="G50:R50" si="55">+G51+G55+G60+G62+G65+G69</f>
        <v>22517755.759999998</v>
      </c>
      <c r="H50" s="122">
        <f t="shared" si="55"/>
        <v>16888316.789999999</v>
      </c>
      <c r="I50" s="122">
        <f t="shared" si="55"/>
        <v>5629438.9699999988</v>
      </c>
      <c r="J50" s="122">
        <f t="shared" si="55"/>
        <v>0</v>
      </c>
      <c r="K50" s="122">
        <f t="shared" si="55"/>
        <v>1310171</v>
      </c>
      <c r="L50" s="122">
        <f t="shared" si="55"/>
        <v>4626171.18</v>
      </c>
      <c r="M50" s="122">
        <f t="shared" si="55"/>
        <v>6679777.6699999999</v>
      </c>
      <c r="N50" s="122">
        <f t="shared" si="55"/>
        <v>5498680.1732999999</v>
      </c>
      <c r="O50" s="122">
        <f t="shared" si="55"/>
        <v>2076067.2833000002</v>
      </c>
      <c r="P50" s="122">
        <f t="shared" si="55"/>
        <v>766888.45</v>
      </c>
      <c r="Q50" s="122">
        <f t="shared" si="55"/>
        <v>0</v>
      </c>
      <c r="R50" s="122">
        <f t="shared" si="55"/>
        <v>3.4000004197878297E-3</v>
      </c>
      <c r="S50" s="122"/>
    </row>
    <row r="51" spans="1:20" x14ac:dyDescent="0.2">
      <c r="A51" s="81"/>
      <c r="B51" s="81" t="s">
        <v>936</v>
      </c>
      <c r="C51" s="94" t="s">
        <v>865</v>
      </c>
      <c r="D51" s="81" t="s">
        <v>8</v>
      </c>
      <c r="E51" s="81"/>
      <c r="F51" s="81"/>
      <c r="G51" s="85">
        <f>+G52+G53+G54</f>
        <v>353066.67000000004</v>
      </c>
      <c r="H51" s="85">
        <f t="shared" ref="H51:O51" si="56">+H52+H53+H54</f>
        <v>264800</v>
      </c>
      <c r="I51" s="85">
        <f t="shared" si="56"/>
        <v>88266.670000000013</v>
      </c>
      <c r="J51" s="85">
        <f t="shared" si="56"/>
        <v>0</v>
      </c>
      <c r="K51" s="85">
        <f t="shared" si="56"/>
        <v>0</v>
      </c>
      <c r="L51" s="85">
        <f t="shared" si="56"/>
        <v>3466.8</v>
      </c>
      <c r="M51" s="85">
        <f t="shared" si="56"/>
        <v>20000</v>
      </c>
      <c r="N51" s="85">
        <f t="shared" si="56"/>
        <v>104000</v>
      </c>
      <c r="O51" s="85">
        <f t="shared" si="56"/>
        <v>141599.87</v>
      </c>
      <c r="P51" s="85">
        <f t="shared" ref="P51:R51" si="57">+P52+P53+P54</f>
        <v>84000</v>
      </c>
      <c r="Q51" s="85">
        <f t="shared" ref="Q51" si="58">+Q52+Q53+Q54</f>
        <v>0</v>
      </c>
      <c r="R51" s="85">
        <f t="shared" si="57"/>
        <v>1.0913936421275139E-11</v>
      </c>
      <c r="S51" s="85"/>
    </row>
    <row r="52" spans="1:20" ht="72" x14ac:dyDescent="0.2">
      <c r="A52" s="117">
        <v>30</v>
      </c>
      <c r="B52" s="117" t="s">
        <v>937</v>
      </c>
      <c r="C52" s="143" t="s">
        <v>866</v>
      </c>
      <c r="D52" s="117" t="s">
        <v>11</v>
      </c>
      <c r="E52" s="103" t="s">
        <v>836</v>
      </c>
      <c r="F52" s="117" t="s">
        <v>839</v>
      </c>
      <c r="G52" s="112">
        <f t="shared" ref="G52:G54" si="59">+H52+I52</f>
        <v>104000</v>
      </c>
      <c r="H52" s="101">
        <v>78000</v>
      </c>
      <c r="I52" s="101">
        <f t="shared" ref="I52:I72" si="60">ROUNDUP(H52/3,2)</f>
        <v>26000</v>
      </c>
      <c r="J52" s="112"/>
      <c r="K52" s="112">
        <v>0</v>
      </c>
      <c r="L52" s="112">
        <v>0</v>
      </c>
      <c r="M52" s="112">
        <v>0</v>
      </c>
      <c r="N52" s="112">
        <f>34000</f>
        <v>34000</v>
      </c>
      <c r="O52" s="112">
        <f>36000</f>
        <v>36000</v>
      </c>
      <c r="P52" s="112">
        <v>34000</v>
      </c>
      <c r="Q52" s="112">
        <v>0</v>
      </c>
      <c r="R52" s="186">
        <f t="shared" ref="R52:R54" si="61">+G52-J52-K52-L52-M52-N52-O52-P52-Q52</f>
        <v>0</v>
      </c>
      <c r="S52" s="137"/>
    </row>
    <row r="53" spans="1:20" ht="48" x14ac:dyDescent="0.2">
      <c r="A53" s="117">
        <v>31</v>
      </c>
      <c r="B53" s="117" t="s">
        <v>938</v>
      </c>
      <c r="C53" s="143" t="s">
        <v>867</v>
      </c>
      <c r="D53" s="117" t="s">
        <v>11</v>
      </c>
      <c r="E53" s="103" t="s">
        <v>836</v>
      </c>
      <c r="F53" s="117" t="s">
        <v>837</v>
      </c>
      <c r="G53" s="112">
        <f t="shared" si="59"/>
        <v>186666.67</v>
      </c>
      <c r="H53" s="101">
        <v>140000</v>
      </c>
      <c r="I53" s="101">
        <f t="shared" si="60"/>
        <v>46666.670000000006</v>
      </c>
      <c r="J53" s="112"/>
      <c r="K53" s="112">
        <v>0</v>
      </c>
      <c r="L53" s="128">
        <v>0</v>
      </c>
      <c r="M53" s="128">
        <v>0</v>
      </c>
      <c r="N53" s="128">
        <f>50000</f>
        <v>50000</v>
      </c>
      <c r="O53" s="128">
        <f>86666.67</f>
        <v>86666.67</v>
      </c>
      <c r="P53" s="128">
        <v>50000</v>
      </c>
      <c r="Q53" s="128">
        <v>0</v>
      </c>
      <c r="R53" s="186">
        <f t="shared" si="61"/>
        <v>1.4551915228366852E-11</v>
      </c>
      <c r="S53" s="138"/>
    </row>
    <row r="54" spans="1:20" ht="36" x14ac:dyDescent="0.2">
      <c r="A54" s="117">
        <v>32</v>
      </c>
      <c r="B54" s="117" t="s">
        <v>939</v>
      </c>
      <c r="C54" s="143" t="s">
        <v>902</v>
      </c>
      <c r="D54" s="117" t="s">
        <v>11</v>
      </c>
      <c r="E54" s="103" t="s">
        <v>836</v>
      </c>
      <c r="F54" s="117" t="s">
        <v>839</v>
      </c>
      <c r="G54" s="112">
        <f t="shared" si="59"/>
        <v>62400</v>
      </c>
      <c r="H54" s="101">
        <v>46800</v>
      </c>
      <c r="I54" s="101">
        <f t="shared" si="60"/>
        <v>15600</v>
      </c>
      <c r="J54" s="112"/>
      <c r="K54" s="112">
        <v>0</v>
      </c>
      <c r="L54" s="112">
        <v>3466.8</v>
      </c>
      <c r="M54" s="112">
        <f>20000</f>
        <v>20000</v>
      </c>
      <c r="N54" s="112">
        <f>20000</f>
        <v>20000</v>
      </c>
      <c r="O54" s="112">
        <f>18933.2</f>
        <v>18933.2</v>
      </c>
      <c r="P54" s="112">
        <v>0</v>
      </c>
      <c r="Q54" s="112">
        <v>0</v>
      </c>
      <c r="R54" s="186">
        <f t="shared" si="61"/>
        <v>-3.637978807091713E-12</v>
      </c>
      <c r="S54" s="137"/>
    </row>
    <row r="55" spans="1:20" ht="60" x14ac:dyDescent="0.2">
      <c r="A55" s="81"/>
      <c r="B55" s="81" t="s">
        <v>940</v>
      </c>
      <c r="C55" s="152" t="s">
        <v>868</v>
      </c>
      <c r="D55" s="81" t="s">
        <v>8</v>
      </c>
      <c r="E55" s="81"/>
      <c r="F55" s="81"/>
      <c r="G55" s="85">
        <f t="shared" ref="G55:R55" si="62">SUM(G56:G59)</f>
        <v>1985000.02</v>
      </c>
      <c r="H55" s="85">
        <f t="shared" si="62"/>
        <v>1488750</v>
      </c>
      <c r="I55" s="85">
        <f t="shared" si="62"/>
        <v>496250.02</v>
      </c>
      <c r="J55" s="85">
        <f t="shared" si="62"/>
        <v>0</v>
      </c>
      <c r="K55" s="85">
        <f t="shared" si="62"/>
        <v>0</v>
      </c>
      <c r="L55" s="85">
        <f t="shared" si="62"/>
        <v>0</v>
      </c>
      <c r="M55" s="85">
        <f t="shared" si="62"/>
        <v>393111</v>
      </c>
      <c r="N55" s="85">
        <f t="shared" si="62"/>
        <v>661666.95330000005</v>
      </c>
      <c r="O55" s="85">
        <f t="shared" si="62"/>
        <v>661666.95330000005</v>
      </c>
      <c r="P55" s="85">
        <f t="shared" si="62"/>
        <v>268555.11</v>
      </c>
      <c r="Q55" s="85">
        <f t="shared" si="62"/>
        <v>0</v>
      </c>
      <c r="R55" s="85">
        <f t="shared" si="62"/>
        <v>3.3999998267972842E-3</v>
      </c>
      <c r="S55" s="85"/>
    </row>
    <row r="56" spans="1:20" x14ac:dyDescent="0.2">
      <c r="A56" s="124">
        <v>33</v>
      </c>
      <c r="B56" s="124" t="s">
        <v>941</v>
      </c>
      <c r="C56" s="144" t="s">
        <v>869</v>
      </c>
      <c r="D56" s="124" t="s">
        <v>11</v>
      </c>
      <c r="E56" s="103" t="s">
        <v>836</v>
      </c>
      <c r="F56" s="124" t="s">
        <v>837</v>
      </c>
      <c r="G56" s="101">
        <f t="shared" ref="G56:G59" si="63">+H56+I56</f>
        <v>729333.34</v>
      </c>
      <c r="H56" s="99">
        <v>547000</v>
      </c>
      <c r="I56" s="99">
        <f t="shared" si="60"/>
        <v>182333.34</v>
      </c>
      <c r="J56" s="113"/>
      <c r="K56" s="113">
        <v>0</v>
      </c>
      <c r="L56" s="113">
        <v>0</v>
      </c>
      <c r="M56" s="113">
        <v>100000</v>
      </c>
      <c r="N56" s="112">
        <f>243111.17</f>
        <v>243111.17</v>
      </c>
      <c r="O56" s="112">
        <f>243111.17</f>
        <v>243111.17</v>
      </c>
      <c r="P56" s="112">
        <v>143111</v>
      </c>
      <c r="Q56" s="112">
        <v>0</v>
      </c>
      <c r="R56" s="186">
        <f t="shared" ref="R56:R59" si="64">+G56-J56-K56-L56-M56-N56-O56-P56-Q56</f>
        <v>-8.7311491370201111E-11</v>
      </c>
      <c r="S56" s="137"/>
    </row>
    <row r="57" spans="1:20" ht="24" x14ac:dyDescent="0.2">
      <c r="A57" s="124">
        <v>34</v>
      </c>
      <c r="B57" s="98" t="s">
        <v>942</v>
      </c>
      <c r="C57" s="144" t="s">
        <v>870</v>
      </c>
      <c r="D57" s="124" t="s">
        <v>11</v>
      </c>
      <c r="E57" s="103" t="s">
        <v>836</v>
      </c>
      <c r="F57" s="124" t="s">
        <v>839</v>
      </c>
      <c r="G57" s="101">
        <f t="shared" si="63"/>
        <v>729333.34</v>
      </c>
      <c r="H57" s="99">
        <v>547000</v>
      </c>
      <c r="I57" s="99">
        <f t="shared" si="60"/>
        <v>182333.34</v>
      </c>
      <c r="J57" s="113"/>
      <c r="K57" s="136">
        <v>0</v>
      </c>
      <c r="L57" s="112">
        <v>0</v>
      </c>
      <c r="M57" s="112">
        <f>243111</f>
        <v>243111</v>
      </c>
      <c r="N57" s="112">
        <f>243111.17</f>
        <v>243111.17</v>
      </c>
      <c r="O57" s="112">
        <f>243111.17</f>
        <v>243111.17</v>
      </c>
      <c r="P57" s="112">
        <v>0</v>
      </c>
      <c r="Q57" s="112">
        <v>0</v>
      </c>
      <c r="R57" s="186">
        <f t="shared" si="64"/>
        <v>-5.8207660913467407E-11</v>
      </c>
      <c r="S57" s="139"/>
    </row>
    <row r="58" spans="1:20" ht="60" x14ac:dyDescent="0.2">
      <c r="A58" s="117">
        <v>35</v>
      </c>
      <c r="B58" s="98" t="s">
        <v>943</v>
      </c>
      <c r="C58" s="141" t="s">
        <v>871</v>
      </c>
      <c r="D58" s="103" t="s">
        <v>11</v>
      </c>
      <c r="E58" s="103" t="s">
        <v>836</v>
      </c>
      <c r="F58" s="98" t="s">
        <v>837</v>
      </c>
      <c r="G58" s="101">
        <f t="shared" si="63"/>
        <v>333333.33999999997</v>
      </c>
      <c r="H58" s="99">
        <v>250000</v>
      </c>
      <c r="I58" s="99">
        <f t="shared" si="60"/>
        <v>83333.34</v>
      </c>
      <c r="J58" s="101"/>
      <c r="K58" s="101">
        <v>0</v>
      </c>
      <c r="L58" s="101">
        <v>0</v>
      </c>
      <c r="M58" s="101">
        <v>50000</v>
      </c>
      <c r="N58" s="101">
        <f>78333.34+32777.7733</f>
        <v>111111.1133</v>
      </c>
      <c r="O58" s="101">
        <f>78333.34+32777.7733</f>
        <v>111111.1133</v>
      </c>
      <c r="P58" s="101">
        <v>61111.11</v>
      </c>
      <c r="Q58" s="101">
        <v>0</v>
      </c>
      <c r="R58" s="186">
        <f t="shared" si="64"/>
        <v>3.3999999723164365E-3</v>
      </c>
      <c r="S58" s="137"/>
    </row>
    <row r="59" spans="1:20" x14ac:dyDescent="0.2">
      <c r="A59" s="117">
        <v>36</v>
      </c>
      <c r="B59" s="124" t="s">
        <v>944</v>
      </c>
      <c r="C59" s="143" t="s">
        <v>873</v>
      </c>
      <c r="D59" s="125" t="s">
        <v>11</v>
      </c>
      <c r="E59" s="125" t="s">
        <v>836</v>
      </c>
      <c r="F59" s="124" t="s">
        <v>837</v>
      </c>
      <c r="G59" s="112">
        <f t="shared" si="63"/>
        <v>193000</v>
      </c>
      <c r="H59" s="101">
        <v>144750</v>
      </c>
      <c r="I59" s="101">
        <f t="shared" si="60"/>
        <v>48250</v>
      </c>
      <c r="J59" s="112"/>
      <c r="K59" s="112">
        <v>0</v>
      </c>
      <c r="L59" s="112">
        <v>0</v>
      </c>
      <c r="M59" s="112">
        <v>0</v>
      </c>
      <c r="N59" s="112">
        <f>64333.5</f>
        <v>64333.5</v>
      </c>
      <c r="O59" s="112">
        <f>64333.5</f>
        <v>64333.5</v>
      </c>
      <c r="P59" s="112">
        <v>64333</v>
      </c>
      <c r="Q59" s="112">
        <v>0</v>
      </c>
      <c r="R59" s="186">
        <f t="shared" si="64"/>
        <v>0</v>
      </c>
      <c r="S59" s="139"/>
    </row>
    <row r="60" spans="1:20" ht="24" x14ac:dyDescent="0.2">
      <c r="A60" s="81"/>
      <c r="B60" s="81" t="s">
        <v>945</v>
      </c>
      <c r="C60" s="94" t="s">
        <v>872</v>
      </c>
      <c r="D60" s="81" t="s">
        <v>8</v>
      </c>
      <c r="E60" s="81"/>
      <c r="F60" s="81"/>
      <c r="G60" s="85">
        <f>+G61</f>
        <v>14096095.67</v>
      </c>
      <c r="H60" s="85">
        <f t="shared" ref="H60:R60" si="65">+H61</f>
        <v>10572071.75</v>
      </c>
      <c r="I60" s="85">
        <f t="shared" si="65"/>
        <v>3524023.92</v>
      </c>
      <c r="J60" s="85">
        <f t="shared" si="65"/>
        <v>0</v>
      </c>
      <c r="K60" s="85">
        <f t="shared" si="65"/>
        <v>1128560.77</v>
      </c>
      <c r="L60" s="85">
        <f t="shared" si="65"/>
        <v>4067519.68</v>
      </c>
      <c r="M60" s="85">
        <f t="shared" si="65"/>
        <v>5500000</v>
      </c>
      <c r="N60" s="85">
        <f t="shared" si="65"/>
        <v>3400015.22</v>
      </c>
      <c r="O60" s="85">
        <f t="shared" si="65"/>
        <v>0</v>
      </c>
      <c r="P60" s="85">
        <f t="shared" si="65"/>
        <v>0</v>
      </c>
      <c r="Q60" s="85">
        <f t="shared" si="65"/>
        <v>0</v>
      </c>
      <c r="R60" s="85">
        <f t="shared" si="65"/>
        <v>4.6566128730773926E-10</v>
      </c>
      <c r="S60" s="85"/>
      <c r="T60" s="80"/>
    </row>
    <row r="61" spans="1:20" ht="36" x14ac:dyDescent="0.2">
      <c r="A61" s="124">
        <v>37</v>
      </c>
      <c r="B61" s="124" t="s">
        <v>946</v>
      </c>
      <c r="C61" s="144" t="s">
        <v>1012</v>
      </c>
      <c r="D61" s="124" t="s">
        <v>11</v>
      </c>
      <c r="E61" s="124" t="s">
        <v>843</v>
      </c>
      <c r="F61" s="124" t="s">
        <v>839</v>
      </c>
      <c r="G61" s="112">
        <f t="shared" ref="G61" si="66">+H61+I61</f>
        <v>14096095.67</v>
      </c>
      <c r="H61" s="135">
        <f>9944261.76+677479.79+360000-184500-228000+3000-169.8</f>
        <v>10572071.75</v>
      </c>
      <c r="I61" s="112">
        <f t="shared" si="60"/>
        <v>3524023.92</v>
      </c>
      <c r="J61" s="112"/>
      <c r="K61" s="112">
        <v>1128560.77</v>
      </c>
      <c r="L61" s="112">
        <v>4067519.68</v>
      </c>
      <c r="M61" s="112">
        <f>5000000+500000</f>
        <v>5500000</v>
      </c>
      <c r="N61" s="112">
        <v>3400015.22</v>
      </c>
      <c r="O61" s="112">
        <v>0</v>
      </c>
      <c r="P61" s="112">
        <v>0</v>
      </c>
      <c r="Q61" s="112">
        <v>0</v>
      </c>
      <c r="R61" s="186">
        <f t="shared" ref="R61" si="67">+G61-J61-K61-L61-M61-N61-O61-P61-Q61</f>
        <v>4.6566128730773926E-10</v>
      </c>
      <c r="S61" s="139"/>
    </row>
    <row r="62" spans="1:20" ht="36" x14ac:dyDescent="0.2">
      <c r="A62" s="81"/>
      <c r="B62" s="81" t="s">
        <v>947</v>
      </c>
      <c r="C62" s="109" t="s">
        <v>874</v>
      </c>
      <c r="D62" s="81" t="s">
        <v>8</v>
      </c>
      <c r="E62" s="81"/>
      <c r="F62" s="81"/>
      <c r="G62" s="85">
        <f>+G63+G64</f>
        <v>350000</v>
      </c>
      <c r="H62" s="85">
        <f t="shared" ref="H62:O62" si="68">+H63+H64</f>
        <v>262500</v>
      </c>
      <c r="I62" s="85">
        <f t="shared" si="68"/>
        <v>87500</v>
      </c>
      <c r="J62" s="85">
        <f t="shared" si="68"/>
        <v>0</v>
      </c>
      <c r="K62" s="85">
        <f t="shared" si="68"/>
        <v>0</v>
      </c>
      <c r="L62" s="85">
        <f t="shared" si="68"/>
        <v>0</v>
      </c>
      <c r="M62" s="85">
        <f t="shared" si="68"/>
        <v>0</v>
      </c>
      <c r="N62" s="85">
        <f t="shared" si="68"/>
        <v>133333.33000000002</v>
      </c>
      <c r="O62" s="85">
        <f t="shared" si="68"/>
        <v>133333.33000000002</v>
      </c>
      <c r="P62" s="85">
        <f t="shared" ref="P62:R62" si="69">+P63+P64</f>
        <v>83333.34</v>
      </c>
      <c r="Q62" s="85">
        <f t="shared" ref="Q62" si="70">+Q63+Q64</f>
        <v>0</v>
      </c>
      <c r="R62" s="85">
        <f t="shared" si="69"/>
        <v>0</v>
      </c>
      <c r="S62" s="85"/>
    </row>
    <row r="63" spans="1:20" ht="60" x14ac:dyDescent="0.2">
      <c r="A63" s="124">
        <v>38</v>
      </c>
      <c r="B63" s="124" t="s">
        <v>948</v>
      </c>
      <c r="C63" s="143" t="s">
        <v>875</v>
      </c>
      <c r="D63" s="124" t="s">
        <v>11</v>
      </c>
      <c r="E63" s="124" t="s">
        <v>836</v>
      </c>
      <c r="F63" s="124" t="s">
        <v>837</v>
      </c>
      <c r="G63" s="112">
        <f>+H63+I63</f>
        <v>100000</v>
      </c>
      <c r="H63" s="101">
        <v>75000</v>
      </c>
      <c r="I63" s="101">
        <f>ROUNDUP(H63/3,2)</f>
        <v>25000</v>
      </c>
      <c r="J63" s="112"/>
      <c r="K63" s="112">
        <v>0</v>
      </c>
      <c r="L63" s="112">
        <v>0</v>
      </c>
      <c r="M63" s="112">
        <v>0</v>
      </c>
      <c r="N63" s="112">
        <f>33333.33</f>
        <v>33333.33</v>
      </c>
      <c r="O63" s="112">
        <f>33333.33</f>
        <v>33333.33</v>
      </c>
      <c r="P63" s="112">
        <v>33333.339999999997</v>
      </c>
      <c r="Q63" s="112">
        <v>0</v>
      </c>
      <c r="R63" s="186">
        <f t="shared" ref="R63:R64" si="71">+G63-J63-K63-L63-M63-N63-O63-P63-Q63</f>
        <v>0</v>
      </c>
      <c r="S63" s="139"/>
    </row>
    <row r="64" spans="1:20" ht="48" x14ac:dyDescent="0.2">
      <c r="A64" s="124">
        <v>39</v>
      </c>
      <c r="B64" s="124" t="s">
        <v>949</v>
      </c>
      <c r="C64" s="143" t="s">
        <v>876</v>
      </c>
      <c r="D64" s="124" t="s">
        <v>11</v>
      </c>
      <c r="E64" s="124" t="s">
        <v>836</v>
      </c>
      <c r="F64" s="124" t="s">
        <v>837</v>
      </c>
      <c r="G64" s="112">
        <f t="shared" ref="G64" si="72">+H64+I64</f>
        <v>250000</v>
      </c>
      <c r="H64" s="101">
        <v>187500</v>
      </c>
      <c r="I64" s="101">
        <f t="shared" si="60"/>
        <v>62500</v>
      </c>
      <c r="J64" s="112"/>
      <c r="K64" s="112">
        <v>0</v>
      </c>
      <c r="L64" s="112">
        <v>0</v>
      </c>
      <c r="M64" s="112">
        <v>0</v>
      </c>
      <c r="N64" s="112">
        <v>100000</v>
      </c>
      <c r="O64" s="112">
        <v>100000</v>
      </c>
      <c r="P64" s="112">
        <v>50000</v>
      </c>
      <c r="Q64" s="112">
        <v>0</v>
      </c>
      <c r="R64" s="186">
        <f t="shared" si="71"/>
        <v>0</v>
      </c>
      <c r="S64" s="137"/>
    </row>
    <row r="65" spans="1:19" ht="48" x14ac:dyDescent="0.2">
      <c r="A65" s="81"/>
      <c r="B65" s="81" t="s">
        <v>950</v>
      </c>
      <c r="C65" s="94" t="s">
        <v>877</v>
      </c>
      <c r="D65" s="81" t="s">
        <v>8</v>
      </c>
      <c r="E65" s="81"/>
      <c r="F65" s="81"/>
      <c r="G65" s="85">
        <f t="shared" ref="G65:O65" si="73">SUM(G66:G68)</f>
        <v>2089333.34</v>
      </c>
      <c r="H65" s="85">
        <f t="shared" si="73"/>
        <v>1567000</v>
      </c>
      <c r="I65" s="85">
        <f t="shared" si="73"/>
        <v>522333.34</v>
      </c>
      <c r="J65" s="85">
        <f t="shared" si="73"/>
        <v>0</v>
      </c>
      <c r="K65" s="85">
        <f t="shared" si="73"/>
        <v>0</v>
      </c>
      <c r="L65" s="85">
        <f t="shared" si="73"/>
        <v>102480</v>
      </c>
      <c r="M65" s="85">
        <f t="shared" si="73"/>
        <v>266666.67000000004</v>
      </c>
      <c r="N65" s="85">
        <f t="shared" si="73"/>
        <v>699664.67</v>
      </c>
      <c r="O65" s="85">
        <f t="shared" si="73"/>
        <v>689522.00000000012</v>
      </c>
      <c r="P65" s="85">
        <f t="shared" ref="P65:R65" si="74">SUM(P66:P68)</f>
        <v>331000</v>
      </c>
      <c r="Q65" s="85">
        <f t="shared" ref="Q65" si="75">SUM(Q66:Q68)</f>
        <v>0</v>
      </c>
      <c r="R65" s="85">
        <f t="shared" si="74"/>
        <v>0</v>
      </c>
      <c r="S65" s="85"/>
    </row>
    <row r="66" spans="1:19" x14ac:dyDescent="0.2">
      <c r="A66" s="117">
        <v>40</v>
      </c>
      <c r="B66" s="100" t="s">
        <v>951</v>
      </c>
      <c r="C66" s="141" t="s">
        <v>878</v>
      </c>
      <c r="D66" s="100" t="s">
        <v>11</v>
      </c>
      <c r="E66" s="98" t="s">
        <v>836</v>
      </c>
      <c r="F66" s="98" t="s">
        <v>837</v>
      </c>
      <c r="G66" s="112">
        <f t="shared" ref="G66:G68" si="76">+H66+I66</f>
        <v>1680000</v>
      </c>
      <c r="H66" s="101">
        <v>1260000</v>
      </c>
      <c r="I66" s="101">
        <f>ROUNDUP(H66/3,2)</f>
        <v>420000</v>
      </c>
      <c r="J66" s="101"/>
      <c r="K66" s="101">
        <v>0</v>
      </c>
      <c r="L66" s="101">
        <v>102480</v>
      </c>
      <c r="M66" s="101">
        <f>300000+166666.67-200000</f>
        <v>266666.67000000004</v>
      </c>
      <c r="N66" s="101">
        <f>399998+166666.67</f>
        <v>566664.67000000004</v>
      </c>
      <c r="O66" s="101">
        <f>377522+166666.66</f>
        <v>544188.66</v>
      </c>
      <c r="P66" s="101">
        <v>200000</v>
      </c>
      <c r="Q66" s="101">
        <v>0</v>
      </c>
      <c r="R66" s="186">
        <f t="shared" ref="R66:R68" si="77">+G66-J66-K66-L66-M66-N66-O66-P66-Q66</f>
        <v>0</v>
      </c>
      <c r="S66" s="137"/>
    </row>
    <row r="67" spans="1:19" ht="96" x14ac:dyDescent="0.2">
      <c r="A67" s="117">
        <v>41</v>
      </c>
      <c r="B67" s="117" t="s">
        <v>952</v>
      </c>
      <c r="C67" s="144" t="s">
        <v>879</v>
      </c>
      <c r="D67" s="124" t="s">
        <v>11</v>
      </c>
      <c r="E67" s="124" t="s">
        <v>836</v>
      </c>
      <c r="F67" s="124" t="s">
        <v>839</v>
      </c>
      <c r="G67" s="112">
        <f t="shared" si="76"/>
        <v>176000</v>
      </c>
      <c r="H67" s="101">
        <v>132000</v>
      </c>
      <c r="I67" s="101">
        <f t="shared" ref="I67:I68" si="78">ROUNDUP(H67/3,2)</f>
        <v>44000</v>
      </c>
      <c r="J67" s="112"/>
      <c r="K67" s="112">
        <v>0</v>
      </c>
      <c r="L67" s="112">
        <v>0</v>
      </c>
      <c r="M67" s="112">
        <v>0</v>
      </c>
      <c r="N67" s="112">
        <f>62111.11-2444.45</f>
        <v>59666.66</v>
      </c>
      <c r="O67" s="112">
        <f>61111.11-2444.44</f>
        <v>58666.67</v>
      </c>
      <c r="P67" s="112">
        <v>57666.67</v>
      </c>
      <c r="Q67" s="112">
        <v>0</v>
      </c>
      <c r="R67" s="186">
        <f t="shared" si="77"/>
        <v>0</v>
      </c>
      <c r="S67" s="139"/>
    </row>
    <row r="68" spans="1:19" ht="120" x14ac:dyDescent="0.2">
      <c r="A68" s="117">
        <v>42</v>
      </c>
      <c r="B68" s="100" t="s">
        <v>953</v>
      </c>
      <c r="C68" s="141" t="s">
        <v>880</v>
      </c>
      <c r="D68" s="103" t="s">
        <v>11</v>
      </c>
      <c r="E68" s="98" t="s">
        <v>836</v>
      </c>
      <c r="F68" s="98" t="s">
        <v>837</v>
      </c>
      <c r="G68" s="101">
        <f t="shared" si="76"/>
        <v>233333.34</v>
      </c>
      <c r="H68" s="99">
        <v>175000</v>
      </c>
      <c r="I68" s="99">
        <f t="shared" si="78"/>
        <v>58333.340000000004</v>
      </c>
      <c r="J68" s="112"/>
      <c r="K68" s="101">
        <v>0</v>
      </c>
      <c r="L68" s="101">
        <v>0</v>
      </c>
      <c r="M68" s="101">
        <v>0</v>
      </c>
      <c r="N68" s="101">
        <v>73333.34</v>
      </c>
      <c r="O68" s="101">
        <v>86666.67</v>
      </c>
      <c r="P68" s="101">
        <v>73333.33</v>
      </c>
      <c r="Q68" s="101">
        <v>0</v>
      </c>
      <c r="R68" s="186">
        <f t="shared" si="77"/>
        <v>0</v>
      </c>
      <c r="S68" s="139"/>
    </row>
    <row r="69" spans="1:19" ht="24" x14ac:dyDescent="0.2">
      <c r="A69" s="81"/>
      <c r="B69" s="81" t="s">
        <v>954</v>
      </c>
      <c r="C69" s="94" t="s">
        <v>881</v>
      </c>
      <c r="D69" s="81" t="s">
        <v>8</v>
      </c>
      <c r="E69" s="81"/>
      <c r="F69" s="81"/>
      <c r="G69" s="85">
        <f>+G70+G71+G72</f>
        <v>3644260.06</v>
      </c>
      <c r="H69" s="85">
        <f t="shared" ref="H69:I69" si="79">+H70+H71+H72</f>
        <v>2733195.04</v>
      </c>
      <c r="I69" s="85">
        <f t="shared" si="79"/>
        <v>911065.02</v>
      </c>
      <c r="J69" s="85">
        <f t="shared" ref="J69:O69" si="80">+J70+J71</f>
        <v>0</v>
      </c>
      <c r="K69" s="85">
        <f t="shared" si="80"/>
        <v>181610.23</v>
      </c>
      <c r="L69" s="85">
        <f t="shared" si="80"/>
        <v>452704.7</v>
      </c>
      <c r="M69" s="85">
        <f t="shared" si="80"/>
        <v>500000</v>
      </c>
      <c r="N69" s="85">
        <f t="shared" si="80"/>
        <v>500000</v>
      </c>
      <c r="O69" s="85">
        <f t="shared" si="80"/>
        <v>449945.13</v>
      </c>
      <c r="P69" s="85">
        <f t="shared" ref="P69:R69" si="81">+P70+P71</f>
        <v>0</v>
      </c>
      <c r="Q69" s="85">
        <f t="shared" ref="Q69" si="82">+Q70+Q71</f>
        <v>0</v>
      </c>
      <c r="R69" s="85">
        <f t="shared" si="81"/>
        <v>1.1641532182693481E-10</v>
      </c>
      <c r="S69" s="85"/>
    </row>
    <row r="70" spans="1:19" ht="48" x14ac:dyDescent="0.2">
      <c r="A70" s="117">
        <v>43</v>
      </c>
      <c r="B70" s="154" t="s">
        <v>955</v>
      </c>
      <c r="C70" s="141" t="s">
        <v>882</v>
      </c>
      <c r="D70" s="100" t="s">
        <v>11</v>
      </c>
      <c r="E70" s="100" t="s">
        <v>836</v>
      </c>
      <c r="F70" s="100" t="s">
        <v>837</v>
      </c>
      <c r="G70" s="101">
        <f t="shared" ref="G70:G71" si="83">+H70+I70</f>
        <v>0</v>
      </c>
      <c r="H70" s="101">
        <v>0</v>
      </c>
      <c r="I70" s="101">
        <f t="shared" si="60"/>
        <v>0</v>
      </c>
      <c r="J70" s="101"/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86">
        <f t="shared" ref="R70:R71" si="84">+G70-J70-K70-L70-M70-N70-O70-P70-Q70</f>
        <v>0</v>
      </c>
      <c r="S70" s="137"/>
    </row>
    <row r="71" spans="1:19" ht="48" x14ac:dyDescent="0.2">
      <c r="A71" s="117">
        <v>44</v>
      </c>
      <c r="B71" s="100" t="s">
        <v>956</v>
      </c>
      <c r="C71" s="141" t="s">
        <v>883</v>
      </c>
      <c r="D71" s="117" t="s">
        <v>11</v>
      </c>
      <c r="E71" s="117" t="s">
        <v>836</v>
      </c>
      <c r="F71" s="117" t="s">
        <v>839</v>
      </c>
      <c r="G71" s="112">
        <f t="shared" si="83"/>
        <v>2084260.06</v>
      </c>
      <c r="H71" s="101">
        <v>1563195.04</v>
      </c>
      <c r="I71" s="101">
        <f t="shared" si="60"/>
        <v>521065.02</v>
      </c>
      <c r="J71" s="101"/>
      <c r="K71" s="101">
        <v>181610.23</v>
      </c>
      <c r="L71" s="101">
        <v>452704.7</v>
      </c>
      <c r="M71" s="101">
        <f>500000</f>
        <v>500000</v>
      </c>
      <c r="N71" s="101">
        <f>500000</f>
        <v>500000</v>
      </c>
      <c r="O71" s="101">
        <f>450000-168.94+114.07</f>
        <v>449945.13</v>
      </c>
      <c r="P71" s="101">
        <v>0</v>
      </c>
      <c r="Q71" s="101">
        <v>0</v>
      </c>
      <c r="R71" s="186">
        <f t="shared" si="84"/>
        <v>1.1641532182693481E-10</v>
      </c>
      <c r="S71" s="137"/>
    </row>
    <row r="72" spans="1:19" ht="24" x14ac:dyDescent="0.2">
      <c r="A72" s="117">
        <v>45</v>
      </c>
      <c r="B72" s="100" t="s">
        <v>1065</v>
      </c>
      <c r="C72" s="100" t="s">
        <v>1000</v>
      </c>
      <c r="D72" s="100" t="s">
        <v>11</v>
      </c>
      <c r="E72" s="103" t="s">
        <v>836</v>
      </c>
      <c r="F72" s="100" t="s">
        <v>839</v>
      </c>
      <c r="G72" s="101">
        <f>+H72+I72</f>
        <v>1560000</v>
      </c>
      <c r="H72" s="99">
        <v>1170000</v>
      </c>
      <c r="I72" s="99">
        <f t="shared" si="60"/>
        <v>390000</v>
      </c>
      <c r="J72" s="101"/>
      <c r="K72" s="101"/>
      <c r="L72" s="101"/>
      <c r="M72" s="101"/>
      <c r="N72" s="101">
        <v>210000</v>
      </c>
      <c r="O72" s="101">
        <v>450000</v>
      </c>
      <c r="P72" s="101">
        <v>450000</v>
      </c>
      <c r="Q72" s="101">
        <v>450000</v>
      </c>
      <c r="R72" s="186">
        <f>G72-J72-K72-L72-M72-N72-O72-P72-Q72</f>
        <v>0</v>
      </c>
      <c r="S72" s="137"/>
    </row>
    <row r="73" spans="1:19" ht="24" x14ac:dyDescent="0.2">
      <c r="A73" s="120"/>
      <c r="B73" s="120" t="s">
        <v>957</v>
      </c>
      <c r="C73" s="121" t="s">
        <v>864</v>
      </c>
      <c r="D73" s="120" t="s">
        <v>847</v>
      </c>
      <c r="E73" s="120"/>
      <c r="F73" s="120"/>
      <c r="G73" s="122">
        <f>+G74</f>
        <v>700000</v>
      </c>
      <c r="H73" s="122">
        <f t="shared" ref="H73:R74" si="85">+H74</f>
        <v>700000</v>
      </c>
      <c r="I73" s="122">
        <f t="shared" si="85"/>
        <v>0</v>
      </c>
      <c r="J73" s="122">
        <f t="shared" si="85"/>
        <v>0</v>
      </c>
      <c r="K73" s="122">
        <f t="shared" si="85"/>
        <v>0</v>
      </c>
      <c r="L73" s="122">
        <f t="shared" si="85"/>
        <v>0</v>
      </c>
      <c r="M73" s="122">
        <f t="shared" si="85"/>
        <v>0</v>
      </c>
      <c r="N73" s="122">
        <f t="shared" si="85"/>
        <v>200000</v>
      </c>
      <c r="O73" s="122">
        <f t="shared" si="85"/>
        <v>250000</v>
      </c>
      <c r="P73" s="122">
        <f t="shared" si="85"/>
        <v>150000</v>
      </c>
      <c r="Q73" s="122">
        <f t="shared" si="85"/>
        <v>100000</v>
      </c>
      <c r="R73" s="122">
        <f t="shared" si="85"/>
        <v>0</v>
      </c>
      <c r="S73" s="122"/>
    </row>
    <row r="74" spans="1:19" x14ac:dyDescent="0.2">
      <c r="A74" s="81"/>
      <c r="B74" s="81" t="s">
        <v>958</v>
      </c>
      <c r="C74" s="94" t="s">
        <v>885</v>
      </c>
      <c r="D74" s="81" t="s">
        <v>8</v>
      </c>
      <c r="E74" s="81"/>
      <c r="F74" s="81"/>
      <c r="G74" s="85">
        <f>+G75</f>
        <v>700000</v>
      </c>
      <c r="H74" s="85">
        <f t="shared" si="85"/>
        <v>700000</v>
      </c>
      <c r="I74" s="85">
        <f t="shared" si="85"/>
        <v>0</v>
      </c>
      <c r="J74" s="85">
        <f t="shared" si="85"/>
        <v>0</v>
      </c>
      <c r="K74" s="85">
        <f t="shared" si="85"/>
        <v>0</v>
      </c>
      <c r="L74" s="85">
        <f t="shared" si="85"/>
        <v>0</v>
      </c>
      <c r="M74" s="85">
        <f t="shared" si="85"/>
        <v>0</v>
      </c>
      <c r="N74" s="85">
        <f t="shared" si="85"/>
        <v>200000</v>
      </c>
      <c r="O74" s="85">
        <f t="shared" si="85"/>
        <v>250000</v>
      </c>
      <c r="P74" s="85">
        <f t="shared" si="85"/>
        <v>150000</v>
      </c>
      <c r="Q74" s="85">
        <f t="shared" si="85"/>
        <v>100000</v>
      </c>
      <c r="R74" s="85">
        <f t="shared" si="85"/>
        <v>0</v>
      </c>
      <c r="S74" s="85"/>
    </row>
    <row r="75" spans="1:19" ht="36" x14ac:dyDescent="0.2">
      <c r="A75" s="124">
        <v>46</v>
      </c>
      <c r="B75" s="124" t="s">
        <v>959</v>
      </c>
      <c r="C75" s="144" t="s">
        <v>884</v>
      </c>
      <c r="D75" s="124" t="s">
        <v>11</v>
      </c>
      <c r="E75" s="124" t="s">
        <v>836</v>
      </c>
      <c r="F75" s="124" t="s">
        <v>839</v>
      </c>
      <c r="G75" s="112">
        <f>+H75</f>
        <v>700000</v>
      </c>
      <c r="H75" s="99">
        <v>700000</v>
      </c>
      <c r="I75" s="99">
        <v>0</v>
      </c>
      <c r="J75" s="113"/>
      <c r="K75" s="113">
        <v>0</v>
      </c>
      <c r="L75" s="113">
        <v>0</v>
      </c>
      <c r="M75" s="113">
        <v>0</v>
      </c>
      <c r="N75" s="113">
        <f>200000</f>
        <v>200000</v>
      </c>
      <c r="O75" s="113">
        <f>250000</f>
        <v>250000</v>
      </c>
      <c r="P75" s="113">
        <v>150000</v>
      </c>
      <c r="Q75" s="113">
        <v>100000</v>
      </c>
      <c r="R75" s="186">
        <f t="shared" ref="R75" si="86">+G75-J75-K75-L75-M75-N75-O75-P75-Q75</f>
        <v>0</v>
      </c>
      <c r="S75" s="140"/>
    </row>
    <row r="76" spans="1:19" ht="24" x14ac:dyDescent="0.2">
      <c r="A76" s="92"/>
      <c r="B76" s="92" t="s">
        <v>960</v>
      </c>
      <c r="C76" s="96" t="s">
        <v>184</v>
      </c>
      <c r="D76" s="92" t="s">
        <v>2</v>
      </c>
      <c r="E76" s="92"/>
      <c r="F76" s="92"/>
      <c r="G76" s="90">
        <f t="shared" ref="G76:O76" si="87">+G77+G94</f>
        <v>11503661.92</v>
      </c>
      <c r="H76" s="90">
        <f t="shared" si="87"/>
        <v>8705536.4199999999</v>
      </c>
      <c r="I76" s="90">
        <f t="shared" si="87"/>
        <v>2798125.5</v>
      </c>
      <c r="J76" s="90">
        <f t="shared" si="87"/>
        <v>0</v>
      </c>
      <c r="K76" s="90">
        <f t="shared" si="87"/>
        <v>94993.2</v>
      </c>
      <c r="L76" s="90">
        <f t="shared" si="87"/>
        <v>487879.62</v>
      </c>
      <c r="M76" s="90">
        <f t="shared" si="87"/>
        <v>1054333.3399999999</v>
      </c>
      <c r="N76" s="90">
        <f t="shared" si="87"/>
        <v>1974333.34</v>
      </c>
      <c r="O76" s="90">
        <f t="shared" si="87"/>
        <v>2214350.27</v>
      </c>
      <c r="P76" s="90">
        <f t="shared" ref="P76:R76" si="88">+P77+P94</f>
        <v>1655555.55</v>
      </c>
      <c r="Q76" s="90">
        <f t="shared" ref="Q76" si="89">+Q77+Q94</f>
        <v>3772216.6</v>
      </c>
      <c r="R76" s="90">
        <f t="shared" si="88"/>
        <v>0</v>
      </c>
      <c r="S76" s="90"/>
    </row>
    <row r="77" spans="1:19" ht="24" x14ac:dyDescent="0.2">
      <c r="A77" s="126"/>
      <c r="B77" s="126" t="s">
        <v>961</v>
      </c>
      <c r="C77" s="121" t="s">
        <v>859</v>
      </c>
      <c r="D77" s="120" t="s">
        <v>847</v>
      </c>
      <c r="E77" s="126"/>
      <c r="F77" s="126"/>
      <c r="G77" s="127">
        <f>+G78+G88+G92+G86+G84</f>
        <v>11235061.92</v>
      </c>
      <c r="H77" s="127">
        <f t="shared" ref="H77:I77" si="90">+H78+H88+H92+H86+H84</f>
        <v>8463796.4199999999</v>
      </c>
      <c r="I77" s="127">
        <f t="shared" si="90"/>
        <v>2771265.5</v>
      </c>
      <c r="J77" s="127">
        <f t="shared" ref="J77:O77" si="91">+J78+J88+J92+J86</f>
        <v>0</v>
      </c>
      <c r="K77" s="127">
        <f t="shared" si="91"/>
        <v>94993.2</v>
      </c>
      <c r="L77" s="127">
        <f t="shared" si="91"/>
        <v>485074.33999999997</v>
      </c>
      <c r="M77" s="127">
        <f t="shared" si="91"/>
        <v>1033333.34</v>
      </c>
      <c r="N77" s="127">
        <f t="shared" si="91"/>
        <v>1903333.34</v>
      </c>
      <c r="O77" s="127">
        <f t="shared" si="91"/>
        <v>2140555.5499999998</v>
      </c>
      <c r="P77" s="127">
        <f t="shared" ref="P77:R77" si="92">+P78+P88+P92+P86</f>
        <v>1605555.55</v>
      </c>
      <c r="Q77" s="127">
        <f t="shared" ref="Q77" si="93">+Q78+Q88+Q92+Q86</f>
        <v>3722216.6</v>
      </c>
      <c r="R77" s="127">
        <f t="shared" si="92"/>
        <v>0</v>
      </c>
      <c r="S77" s="127"/>
    </row>
    <row r="78" spans="1:19" x14ac:dyDescent="0.2">
      <c r="A78" s="83"/>
      <c r="B78" s="83" t="s">
        <v>962</v>
      </c>
      <c r="C78" s="97" t="s">
        <v>886</v>
      </c>
      <c r="D78" s="83" t="s">
        <v>8</v>
      </c>
      <c r="E78" s="83"/>
      <c r="F78" s="83"/>
      <c r="G78" s="86">
        <f>+G79+G80+G81+G82+G83</f>
        <v>8935061.9199999999</v>
      </c>
      <c r="H78" s="86">
        <f t="shared" ref="H78:R78" si="94">+H79+H80+H81+H82+H83</f>
        <v>6701296.4199999999</v>
      </c>
      <c r="I78" s="86">
        <f t="shared" si="94"/>
        <v>2233765.5</v>
      </c>
      <c r="J78" s="86">
        <f t="shared" si="94"/>
        <v>0</v>
      </c>
      <c r="K78" s="86">
        <f t="shared" si="94"/>
        <v>87063.42</v>
      </c>
      <c r="L78" s="86">
        <f t="shared" si="94"/>
        <v>440386.74</v>
      </c>
      <c r="M78" s="86">
        <f t="shared" si="94"/>
        <v>913333.34</v>
      </c>
      <c r="N78" s="86">
        <f t="shared" si="94"/>
        <v>1563333.34</v>
      </c>
      <c r="O78" s="86">
        <f t="shared" si="94"/>
        <v>1607222.22</v>
      </c>
      <c r="P78" s="86">
        <f t="shared" si="94"/>
        <v>1107222.22</v>
      </c>
      <c r="Q78" s="86">
        <f t="shared" si="94"/>
        <v>3216500.64</v>
      </c>
      <c r="R78" s="86">
        <f t="shared" si="94"/>
        <v>0</v>
      </c>
      <c r="S78" s="86"/>
    </row>
    <row r="79" spans="1:19" ht="24" x14ac:dyDescent="0.2">
      <c r="A79" s="104">
        <v>47</v>
      </c>
      <c r="B79" s="104" t="s">
        <v>963</v>
      </c>
      <c r="C79" s="105" t="s">
        <v>887</v>
      </c>
      <c r="D79" s="104" t="s">
        <v>11</v>
      </c>
      <c r="E79" s="104" t="s">
        <v>816</v>
      </c>
      <c r="F79" s="104" t="s">
        <v>839</v>
      </c>
      <c r="G79" s="112">
        <f t="shared" ref="G79:G82" si="95">+H79+I79</f>
        <v>5333333.34</v>
      </c>
      <c r="H79" s="99">
        <v>4000000</v>
      </c>
      <c r="I79" s="99">
        <f t="shared" ref="I79:I93" si="96">ROUNDUP(H79/3,2)</f>
        <v>1333333.3400000001</v>
      </c>
      <c r="J79" s="106"/>
      <c r="K79" s="106">
        <v>82049.84</v>
      </c>
      <c r="L79" s="106">
        <v>411129.05</v>
      </c>
      <c r="M79" s="106">
        <v>500000</v>
      </c>
      <c r="N79" s="106">
        <v>500000</v>
      </c>
      <c r="O79" s="106">
        <v>500000</v>
      </c>
      <c r="P79" s="106">
        <v>500000</v>
      </c>
      <c r="Q79" s="106">
        <v>2840154.45</v>
      </c>
      <c r="R79" s="186">
        <f t="shared" ref="R79:R83" si="97">+G79-J79-K79-L79-M79-N79-O79-P79-Q79</f>
        <v>0</v>
      </c>
      <c r="S79" s="140"/>
    </row>
    <row r="80" spans="1:19" ht="24" x14ac:dyDescent="0.2">
      <c r="A80" s="104">
        <v>48</v>
      </c>
      <c r="B80" s="104" t="s">
        <v>964</v>
      </c>
      <c r="C80" s="105" t="s">
        <v>888</v>
      </c>
      <c r="D80" s="104" t="s">
        <v>11</v>
      </c>
      <c r="E80" s="104" t="s">
        <v>816</v>
      </c>
      <c r="F80" s="104" t="s">
        <v>839</v>
      </c>
      <c r="G80" s="112">
        <f t="shared" si="95"/>
        <v>3115061.9</v>
      </c>
      <c r="H80" s="99">
        <v>2336296.42</v>
      </c>
      <c r="I80" s="99">
        <f t="shared" si="96"/>
        <v>778765.48</v>
      </c>
      <c r="J80" s="106"/>
      <c r="K80" s="106">
        <v>0</v>
      </c>
      <c r="L80" s="106">
        <v>1566.48</v>
      </c>
      <c r="M80" s="106">
        <v>350000</v>
      </c>
      <c r="N80" s="106">
        <v>1000000</v>
      </c>
      <c r="O80" s="106">
        <v>1000000</v>
      </c>
      <c r="P80" s="106">
        <v>500000</v>
      </c>
      <c r="Q80" s="106">
        <v>263495.42</v>
      </c>
      <c r="R80" s="186">
        <f t="shared" si="97"/>
        <v>0</v>
      </c>
      <c r="S80" s="140"/>
    </row>
    <row r="81" spans="1:19" ht="24" x14ac:dyDescent="0.2">
      <c r="A81" s="104">
        <v>49</v>
      </c>
      <c r="B81" s="104" t="s">
        <v>965</v>
      </c>
      <c r="C81" s="105" t="s">
        <v>889</v>
      </c>
      <c r="D81" s="104" t="s">
        <v>11</v>
      </c>
      <c r="E81" s="104" t="s">
        <v>816</v>
      </c>
      <c r="F81" s="104" t="s">
        <v>839</v>
      </c>
      <c r="G81" s="112">
        <f t="shared" si="95"/>
        <v>293333.33999999997</v>
      </c>
      <c r="H81" s="99">
        <v>220000</v>
      </c>
      <c r="I81" s="99">
        <f t="shared" si="96"/>
        <v>73333.34</v>
      </c>
      <c r="J81" s="106"/>
      <c r="K81" s="106">
        <v>5013.58</v>
      </c>
      <c r="L81" s="106">
        <v>27691.21</v>
      </c>
      <c r="M81" s="106">
        <v>30000</v>
      </c>
      <c r="N81" s="106">
        <v>30000</v>
      </c>
      <c r="O81" s="106">
        <v>65000</v>
      </c>
      <c r="P81" s="106">
        <v>65000</v>
      </c>
      <c r="Q81" s="106">
        <v>70628.55</v>
      </c>
      <c r="R81" s="186">
        <f t="shared" si="97"/>
        <v>0</v>
      </c>
      <c r="S81" s="140"/>
    </row>
    <row r="82" spans="1:19" ht="24" x14ac:dyDescent="0.2">
      <c r="A82" s="104">
        <v>50</v>
      </c>
      <c r="B82" s="104" t="s">
        <v>966</v>
      </c>
      <c r="C82" s="105" t="s">
        <v>890</v>
      </c>
      <c r="D82" s="104" t="s">
        <v>11</v>
      </c>
      <c r="E82" s="118" t="s">
        <v>895</v>
      </c>
      <c r="F82" s="104" t="s">
        <v>837</v>
      </c>
      <c r="G82" s="112">
        <f t="shared" si="95"/>
        <v>93333.34</v>
      </c>
      <c r="H82" s="99">
        <v>70000</v>
      </c>
      <c r="I82" s="99">
        <f t="shared" si="96"/>
        <v>23333.34</v>
      </c>
      <c r="J82" s="106"/>
      <c r="K82" s="99">
        <v>0</v>
      </c>
      <c r="L82" s="99">
        <v>0</v>
      </c>
      <c r="M82" s="99">
        <v>13333.34</v>
      </c>
      <c r="N82" s="99">
        <v>13333.34</v>
      </c>
      <c r="O82" s="99">
        <v>22222.22</v>
      </c>
      <c r="P82" s="99">
        <v>22222.22</v>
      </c>
      <c r="Q82" s="99">
        <v>22222.22</v>
      </c>
      <c r="R82" s="186">
        <f t="shared" si="97"/>
        <v>0</v>
      </c>
      <c r="S82" s="140"/>
    </row>
    <row r="83" spans="1:19" ht="24" x14ac:dyDescent="0.2">
      <c r="A83" s="118">
        <v>51</v>
      </c>
      <c r="B83" s="118" t="s">
        <v>1066</v>
      </c>
      <c r="C83" s="147" t="s">
        <v>1013</v>
      </c>
      <c r="D83" s="118" t="s">
        <v>11</v>
      </c>
      <c r="E83" s="147" t="s">
        <v>1050</v>
      </c>
      <c r="F83" s="147" t="s">
        <v>839</v>
      </c>
      <c r="G83" s="135">
        <f>+H83+I83</f>
        <v>100000</v>
      </c>
      <c r="H83" s="148">
        <v>75000</v>
      </c>
      <c r="I83" s="148">
        <f>ROUNDUP(H83/3,2)</f>
        <v>25000</v>
      </c>
      <c r="J83" s="148"/>
      <c r="K83" s="148">
        <v>0</v>
      </c>
      <c r="L83" s="148">
        <v>0</v>
      </c>
      <c r="M83" s="148">
        <v>20000</v>
      </c>
      <c r="N83" s="148">
        <v>20000</v>
      </c>
      <c r="O83" s="135">
        <v>20000</v>
      </c>
      <c r="P83" s="135">
        <v>20000</v>
      </c>
      <c r="Q83" s="135">
        <v>20000</v>
      </c>
      <c r="R83" s="195">
        <f t="shared" si="97"/>
        <v>0</v>
      </c>
      <c r="S83" s="196"/>
    </row>
    <row r="84" spans="1:19" ht="24" x14ac:dyDescent="0.2">
      <c r="A84" s="83"/>
      <c r="B84" s="83" t="s">
        <v>1048</v>
      </c>
      <c r="C84" s="97" t="s">
        <v>1010</v>
      </c>
      <c r="D84" s="83" t="s">
        <v>8</v>
      </c>
      <c r="E84" s="83"/>
      <c r="F84" s="83"/>
      <c r="G84" s="86">
        <f>+G85</f>
        <v>250000</v>
      </c>
      <c r="H84" s="86">
        <f t="shared" ref="H84:R84" si="98">+H85</f>
        <v>225000</v>
      </c>
      <c r="I84" s="86">
        <f t="shared" si="98"/>
        <v>25000</v>
      </c>
      <c r="J84" s="86">
        <f t="shared" si="98"/>
        <v>0</v>
      </c>
      <c r="K84" s="86">
        <f t="shared" si="98"/>
        <v>0</v>
      </c>
      <c r="L84" s="86">
        <f t="shared" si="98"/>
        <v>0</v>
      </c>
      <c r="M84" s="86">
        <f t="shared" si="98"/>
        <v>0</v>
      </c>
      <c r="N84" s="86">
        <f t="shared" si="98"/>
        <v>70000</v>
      </c>
      <c r="O84" s="86">
        <f t="shared" si="98"/>
        <v>70000</v>
      </c>
      <c r="P84" s="86">
        <f t="shared" si="98"/>
        <v>50000</v>
      </c>
      <c r="Q84" s="86">
        <f t="shared" si="98"/>
        <v>60000</v>
      </c>
      <c r="R84" s="86">
        <f t="shared" si="98"/>
        <v>0</v>
      </c>
      <c r="S84" s="86"/>
    </row>
    <row r="85" spans="1:19" ht="24" x14ac:dyDescent="0.2">
      <c r="A85" s="193">
        <v>52</v>
      </c>
      <c r="B85" s="104" t="s">
        <v>1067</v>
      </c>
      <c r="C85" s="193" t="s">
        <v>1010</v>
      </c>
      <c r="D85" s="193"/>
      <c r="E85" s="104" t="s">
        <v>816</v>
      </c>
      <c r="F85" s="193"/>
      <c r="G85" s="134">
        <f>+H85+I85</f>
        <v>250000</v>
      </c>
      <c r="H85" s="106">
        <v>225000</v>
      </c>
      <c r="I85" s="106">
        <f>ROUNDUP(H85/9,2)</f>
        <v>25000</v>
      </c>
      <c r="J85" s="106"/>
      <c r="K85" s="148">
        <v>0</v>
      </c>
      <c r="L85" s="148">
        <v>0</v>
      </c>
      <c r="M85" s="148">
        <v>0</v>
      </c>
      <c r="N85" s="148">
        <v>70000</v>
      </c>
      <c r="O85" s="135">
        <v>70000</v>
      </c>
      <c r="P85" s="135">
        <v>50000</v>
      </c>
      <c r="Q85" s="135">
        <v>60000</v>
      </c>
      <c r="R85" s="186">
        <f t="shared" ref="R85:R87" si="99">+G85-J85-K85-L85-M85-N85-O85-P85-Q85</f>
        <v>0</v>
      </c>
      <c r="S85" s="194"/>
    </row>
    <row r="86" spans="1:19" x14ac:dyDescent="0.2">
      <c r="A86" s="83"/>
      <c r="B86" s="83" t="s">
        <v>987</v>
      </c>
      <c r="C86" s="97" t="s">
        <v>988</v>
      </c>
      <c r="D86" s="83" t="s">
        <v>8</v>
      </c>
      <c r="E86" s="83"/>
      <c r="F86" s="83"/>
      <c r="G86" s="86">
        <f>+G87</f>
        <v>1000000</v>
      </c>
      <c r="H86" s="86">
        <f t="shared" ref="H86:R86" si="100">+H87</f>
        <v>750000</v>
      </c>
      <c r="I86" s="86">
        <f t="shared" si="100"/>
        <v>250000</v>
      </c>
      <c r="J86" s="86">
        <f t="shared" si="100"/>
        <v>0</v>
      </c>
      <c r="K86" s="86">
        <f t="shared" si="100"/>
        <v>0</v>
      </c>
      <c r="L86" s="86">
        <f t="shared" si="100"/>
        <v>0</v>
      </c>
      <c r="M86" s="86">
        <f t="shared" si="100"/>
        <v>50000</v>
      </c>
      <c r="N86" s="86">
        <f t="shared" si="100"/>
        <v>100000</v>
      </c>
      <c r="O86" s="86">
        <f t="shared" si="100"/>
        <v>283333.33</v>
      </c>
      <c r="P86" s="86">
        <f t="shared" si="100"/>
        <v>283333.33</v>
      </c>
      <c r="Q86" s="86">
        <f t="shared" si="100"/>
        <v>283333.34000000003</v>
      </c>
      <c r="R86" s="86">
        <f t="shared" si="100"/>
        <v>0</v>
      </c>
      <c r="S86" s="85"/>
    </row>
    <row r="87" spans="1:19" s="24" customFormat="1" ht="24" x14ac:dyDescent="0.2">
      <c r="A87" s="118">
        <v>53</v>
      </c>
      <c r="B87" s="118" t="s">
        <v>993</v>
      </c>
      <c r="C87" s="147" t="s">
        <v>896</v>
      </c>
      <c r="D87" s="118" t="s">
        <v>11</v>
      </c>
      <c r="E87" s="118" t="s">
        <v>1017</v>
      </c>
      <c r="F87" s="118" t="s">
        <v>839</v>
      </c>
      <c r="G87" s="112">
        <f t="shared" ref="G87" si="101">+H87+I87</f>
        <v>1000000</v>
      </c>
      <c r="H87" s="113">
        <v>750000</v>
      </c>
      <c r="I87" s="113">
        <f t="shared" ref="I87" si="102">ROUNDUP(H87/3,2)</f>
        <v>250000</v>
      </c>
      <c r="J87" s="148"/>
      <c r="K87" s="113">
        <v>0</v>
      </c>
      <c r="L87" s="113">
        <v>0</v>
      </c>
      <c r="M87" s="113">
        <v>50000</v>
      </c>
      <c r="N87" s="113">
        <v>100000</v>
      </c>
      <c r="O87" s="113">
        <v>283333.33</v>
      </c>
      <c r="P87" s="113">
        <v>283333.33</v>
      </c>
      <c r="Q87" s="113">
        <v>283333.34000000003</v>
      </c>
      <c r="R87" s="186">
        <f t="shared" si="99"/>
        <v>0</v>
      </c>
      <c r="S87" s="140"/>
    </row>
    <row r="88" spans="1:19" x14ac:dyDescent="0.2">
      <c r="A88" s="83"/>
      <c r="B88" s="83" t="s">
        <v>967</v>
      </c>
      <c r="C88" s="97" t="s">
        <v>891</v>
      </c>
      <c r="D88" s="83" t="s">
        <v>8</v>
      </c>
      <c r="E88" s="83"/>
      <c r="F88" s="83"/>
      <c r="G88" s="86">
        <f>+G89+G90+G91</f>
        <v>910000</v>
      </c>
      <c r="H88" s="86">
        <f t="shared" ref="H88:R88" si="103">+H89+H90+H91</f>
        <v>682500</v>
      </c>
      <c r="I88" s="86">
        <f t="shared" si="103"/>
        <v>227500</v>
      </c>
      <c r="J88" s="86">
        <f t="shared" si="103"/>
        <v>0</v>
      </c>
      <c r="K88" s="86">
        <f t="shared" si="103"/>
        <v>7929.78</v>
      </c>
      <c r="L88" s="86">
        <f t="shared" si="103"/>
        <v>44687.6</v>
      </c>
      <c r="M88" s="86">
        <f t="shared" si="103"/>
        <v>60000</v>
      </c>
      <c r="N88" s="86">
        <f t="shared" si="103"/>
        <v>210000</v>
      </c>
      <c r="O88" s="86">
        <f t="shared" si="103"/>
        <v>210000</v>
      </c>
      <c r="P88" s="86">
        <f t="shared" si="103"/>
        <v>185000</v>
      </c>
      <c r="Q88" s="86">
        <f t="shared" si="103"/>
        <v>192382.62</v>
      </c>
      <c r="R88" s="86">
        <f t="shared" si="103"/>
        <v>0</v>
      </c>
      <c r="S88" s="85"/>
    </row>
    <row r="89" spans="1:19" s="24" customFormat="1" ht="24" x14ac:dyDescent="0.2">
      <c r="A89" s="118">
        <v>54</v>
      </c>
      <c r="B89" s="118" t="s">
        <v>968</v>
      </c>
      <c r="C89" s="149" t="s">
        <v>892</v>
      </c>
      <c r="D89" s="118" t="s">
        <v>11</v>
      </c>
      <c r="E89" s="118" t="s">
        <v>816</v>
      </c>
      <c r="F89" s="118" t="s">
        <v>839</v>
      </c>
      <c r="G89" s="112">
        <f t="shared" ref="G89:G90" si="104">+H89+I89</f>
        <v>560000</v>
      </c>
      <c r="H89" s="113">
        <v>420000</v>
      </c>
      <c r="I89" s="113">
        <f t="shared" si="96"/>
        <v>140000</v>
      </c>
      <c r="J89" s="148"/>
      <c r="K89" s="113">
        <v>2911.42</v>
      </c>
      <c r="L89" s="113">
        <v>33725.449999999997</v>
      </c>
      <c r="M89" s="113">
        <v>40000</v>
      </c>
      <c r="N89" s="113">
        <v>120000</v>
      </c>
      <c r="O89" s="113">
        <v>120000</v>
      </c>
      <c r="P89" s="113">
        <v>120000</v>
      </c>
      <c r="Q89" s="113">
        <v>123363.13</v>
      </c>
      <c r="R89" s="186">
        <f t="shared" ref="R89:R91" si="105">+G89-J89-K89-L89-M89-N89-O89-P89-Q89</f>
        <v>0</v>
      </c>
      <c r="S89" s="140"/>
    </row>
    <row r="90" spans="1:19" ht="24" x14ac:dyDescent="0.2">
      <c r="A90" s="104">
        <v>55</v>
      </c>
      <c r="B90" s="104" t="s">
        <v>969</v>
      </c>
      <c r="C90" s="105" t="s">
        <v>893</v>
      </c>
      <c r="D90" s="104" t="s">
        <v>11</v>
      </c>
      <c r="E90" s="104" t="s">
        <v>816</v>
      </c>
      <c r="F90" s="104" t="s">
        <v>839</v>
      </c>
      <c r="G90" s="112">
        <f t="shared" si="104"/>
        <v>200000</v>
      </c>
      <c r="H90" s="99">
        <v>150000</v>
      </c>
      <c r="I90" s="99">
        <f t="shared" si="96"/>
        <v>50000</v>
      </c>
      <c r="J90" s="106"/>
      <c r="K90" s="99">
        <v>5018.3599999999997</v>
      </c>
      <c r="L90" s="99">
        <v>10962.15</v>
      </c>
      <c r="M90" s="99">
        <v>20000</v>
      </c>
      <c r="N90" s="99">
        <v>40000</v>
      </c>
      <c r="O90" s="99">
        <v>40000</v>
      </c>
      <c r="P90" s="99">
        <v>40000</v>
      </c>
      <c r="Q90" s="99">
        <v>44019.49</v>
      </c>
      <c r="R90" s="186">
        <f t="shared" si="105"/>
        <v>0</v>
      </c>
      <c r="S90" s="140"/>
    </row>
    <row r="91" spans="1:19" ht="48" x14ac:dyDescent="0.2">
      <c r="A91" s="118">
        <v>56</v>
      </c>
      <c r="B91" s="118" t="s">
        <v>1068</v>
      </c>
      <c r="C91" s="147" t="s">
        <v>1014</v>
      </c>
      <c r="D91" s="104" t="s">
        <v>11</v>
      </c>
      <c r="E91" s="104" t="s">
        <v>816</v>
      </c>
      <c r="F91" s="104" t="s">
        <v>839</v>
      </c>
      <c r="G91" s="112">
        <f>+H91+I91</f>
        <v>150000</v>
      </c>
      <c r="H91" s="112">
        <v>112500</v>
      </c>
      <c r="I91" s="112">
        <f>ROUNDUP(H91/3,2)</f>
        <v>37500</v>
      </c>
      <c r="J91" s="106"/>
      <c r="K91" s="106">
        <v>0</v>
      </c>
      <c r="L91" s="106">
        <v>0</v>
      </c>
      <c r="M91" s="106">
        <v>0</v>
      </c>
      <c r="N91" s="106">
        <v>50000</v>
      </c>
      <c r="O91" s="106">
        <v>50000</v>
      </c>
      <c r="P91" s="106">
        <v>25000</v>
      </c>
      <c r="Q91" s="106">
        <v>25000</v>
      </c>
      <c r="R91" s="186">
        <f t="shared" si="105"/>
        <v>0</v>
      </c>
      <c r="S91" s="146"/>
    </row>
    <row r="92" spans="1:19" ht="24" x14ac:dyDescent="0.2">
      <c r="A92" s="83"/>
      <c r="B92" s="83" t="s">
        <v>970</v>
      </c>
      <c r="C92" s="97" t="s">
        <v>894</v>
      </c>
      <c r="D92" s="83" t="s">
        <v>8</v>
      </c>
      <c r="E92" s="83"/>
      <c r="F92" s="83"/>
      <c r="G92" s="86">
        <f>+G93</f>
        <v>140000</v>
      </c>
      <c r="H92" s="86">
        <f t="shared" ref="H92:I92" si="106">+H93</f>
        <v>105000</v>
      </c>
      <c r="I92" s="86">
        <f t="shared" si="106"/>
        <v>35000</v>
      </c>
      <c r="J92" s="86">
        <f t="shared" ref="J92:R92" si="107">+J93</f>
        <v>0</v>
      </c>
      <c r="K92" s="86">
        <f t="shared" si="107"/>
        <v>0</v>
      </c>
      <c r="L92" s="86">
        <f t="shared" si="107"/>
        <v>0</v>
      </c>
      <c r="M92" s="86">
        <f t="shared" si="107"/>
        <v>10000</v>
      </c>
      <c r="N92" s="86">
        <f t="shared" si="107"/>
        <v>30000</v>
      </c>
      <c r="O92" s="86">
        <f t="shared" si="107"/>
        <v>40000</v>
      </c>
      <c r="P92" s="86">
        <f t="shared" si="107"/>
        <v>30000</v>
      </c>
      <c r="Q92" s="86">
        <f t="shared" si="107"/>
        <v>30000</v>
      </c>
      <c r="R92" s="86">
        <f t="shared" si="107"/>
        <v>0</v>
      </c>
      <c r="S92" s="85"/>
    </row>
    <row r="93" spans="1:19" ht="24" x14ac:dyDescent="0.2">
      <c r="A93" s="104">
        <v>57</v>
      </c>
      <c r="B93" s="104" t="s">
        <v>971</v>
      </c>
      <c r="C93" s="105" t="s">
        <v>979</v>
      </c>
      <c r="D93" s="104" t="s">
        <v>11</v>
      </c>
      <c r="E93" s="104" t="s">
        <v>816</v>
      </c>
      <c r="F93" s="104" t="s">
        <v>837</v>
      </c>
      <c r="G93" s="112">
        <f>+H93+I93</f>
        <v>140000</v>
      </c>
      <c r="H93" s="99">
        <v>105000</v>
      </c>
      <c r="I93" s="99">
        <f t="shared" si="96"/>
        <v>35000</v>
      </c>
      <c r="J93" s="106"/>
      <c r="K93" s="99">
        <v>0</v>
      </c>
      <c r="L93" s="99">
        <v>0</v>
      </c>
      <c r="M93" s="99">
        <v>10000</v>
      </c>
      <c r="N93" s="99">
        <v>30000</v>
      </c>
      <c r="O93" s="99">
        <v>40000</v>
      </c>
      <c r="P93" s="99">
        <v>30000</v>
      </c>
      <c r="Q93" s="99">
        <v>30000</v>
      </c>
      <c r="R93" s="186">
        <f t="shared" ref="R93" si="108">+G93-J93-K93-L93-M93-N93-O93-P93-Q93</f>
        <v>0</v>
      </c>
      <c r="S93" s="140"/>
    </row>
    <row r="94" spans="1:19" ht="24" x14ac:dyDescent="0.2">
      <c r="A94" s="120"/>
      <c r="B94" s="120" t="s">
        <v>972</v>
      </c>
      <c r="C94" s="121" t="s">
        <v>858</v>
      </c>
      <c r="D94" s="120" t="s">
        <v>847</v>
      </c>
      <c r="E94" s="120"/>
      <c r="F94" s="120"/>
      <c r="G94" s="122">
        <f>+G95</f>
        <v>268600</v>
      </c>
      <c r="H94" s="122">
        <f t="shared" ref="H94:R94" si="109">+H95</f>
        <v>241740</v>
      </c>
      <c r="I94" s="122">
        <f t="shared" si="109"/>
        <v>26860</v>
      </c>
      <c r="J94" s="122">
        <f t="shared" si="109"/>
        <v>0</v>
      </c>
      <c r="K94" s="122">
        <f t="shared" si="109"/>
        <v>0</v>
      </c>
      <c r="L94" s="122">
        <f t="shared" si="109"/>
        <v>2805.28</v>
      </c>
      <c r="M94" s="122">
        <f t="shared" si="109"/>
        <v>21000</v>
      </c>
      <c r="N94" s="122">
        <f t="shared" si="109"/>
        <v>71000</v>
      </c>
      <c r="O94" s="122">
        <f t="shared" si="109"/>
        <v>73794.720000000001</v>
      </c>
      <c r="P94" s="122">
        <f t="shared" si="109"/>
        <v>50000</v>
      </c>
      <c r="Q94" s="122">
        <f t="shared" si="109"/>
        <v>50000</v>
      </c>
      <c r="R94" s="122">
        <f t="shared" si="109"/>
        <v>0</v>
      </c>
      <c r="S94" s="122"/>
    </row>
    <row r="95" spans="1:19" ht="24" x14ac:dyDescent="0.2">
      <c r="A95" s="83"/>
      <c r="B95" s="83" t="s">
        <v>973</v>
      </c>
      <c r="C95" s="97" t="s">
        <v>897</v>
      </c>
      <c r="D95" s="83" t="s">
        <v>8</v>
      </c>
      <c r="E95" s="83"/>
      <c r="F95" s="83"/>
      <c r="G95" s="86">
        <f>+G96+G97</f>
        <v>268600</v>
      </c>
      <c r="H95" s="86">
        <f t="shared" ref="H95:O95" si="110">+H96+H97</f>
        <v>241740</v>
      </c>
      <c r="I95" s="86">
        <f t="shared" si="110"/>
        <v>26860</v>
      </c>
      <c r="J95" s="86">
        <f t="shared" si="110"/>
        <v>0</v>
      </c>
      <c r="K95" s="86">
        <f t="shared" si="110"/>
        <v>0</v>
      </c>
      <c r="L95" s="86">
        <f t="shared" si="110"/>
        <v>2805.28</v>
      </c>
      <c r="M95" s="86">
        <f t="shared" si="110"/>
        <v>21000</v>
      </c>
      <c r="N95" s="86">
        <f t="shared" si="110"/>
        <v>71000</v>
      </c>
      <c r="O95" s="86">
        <f t="shared" si="110"/>
        <v>73794.720000000001</v>
      </c>
      <c r="P95" s="86">
        <f t="shared" ref="P95:R95" si="111">+P96+P97</f>
        <v>50000</v>
      </c>
      <c r="Q95" s="86">
        <f t="shared" ref="Q95" si="112">+Q96+Q97</f>
        <v>50000</v>
      </c>
      <c r="R95" s="86">
        <f t="shared" si="111"/>
        <v>0</v>
      </c>
      <c r="S95" s="86"/>
    </row>
    <row r="96" spans="1:19" ht="24" x14ac:dyDescent="0.2">
      <c r="A96" s="118">
        <v>58</v>
      </c>
      <c r="B96" s="104" t="s">
        <v>974</v>
      </c>
      <c r="C96" s="145" t="s">
        <v>897</v>
      </c>
      <c r="D96" s="104" t="s">
        <v>11</v>
      </c>
      <c r="E96" s="124" t="s">
        <v>836</v>
      </c>
      <c r="F96" s="104" t="s">
        <v>839</v>
      </c>
      <c r="G96" s="112">
        <f t="shared" ref="G96:G97" si="113">+H96+I96</f>
        <v>68600</v>
      </c>
      <c r="H96" s="99">
        <v>61740</v>
      </c>
      <c r="I96" s="99">
        <f>ROUNDUP(H96/9,2)</f>
        <v>6860</v>
      </c>
      <c r="J96" s="106"/>
      <c r="K96" s="134">
        <v>0</v>
      </c>
      <c r="L96" s="135">
        <v>2805.28</v>
      </c>
      <c r="M96" s="106">
        <f>15400+5600</f>
        <v>21000</v>
      </c>
      <c r="N96" s="101">
        <f>15400+5600</f>
        <v>21000</v>
      </c>
      <c r="O96" s="101">
        <f>18200+4994.72+600</f>
        <v>23794.720000000001</v>
      </c>
      <c r="P96" s="101">
        <v>0</v>
      </c>
      <c r="Q96" s="101">
        <v>0</v>
      </c>
      <c r="R96" s="186">
        <f t="shared" ref="R96:R97" si="114">+G96-J96-K96-L96-M96-N96-O96-P96-Q96</f>
        <v>0</v>
      </c>
      <c r="S96" s="140"/>
    </row>
    <row r="97" spans="1:19" ht="24" x14ac:dyDescent="0.2">
      <c r="A97" s="118">
        <v>59</v>
      </c>
      <c r="B97" s="104" t="s">
        <v>1069</v>
      </c>
      <c r="C97" s="147" t="s">
        <v>1009</v>
      </c>
      <c r="D97" s="104" t="s">
        <v>11</v>
      </c>
      <c r="E97" s="104" t="s">
        <v>816</v>
      </c>
      <c r="F97" s="118" t="s">
        <v>839</v>
      </c>
      <c r="G97" s="112">
        <f t="shared" si="113"/>
        <v>200000</v>
      </c>
      <c r="H97" s="113">
        <v>180000</v>
      </c>
      <c r="I97" s="113">
        <f t="shared" ref="I97" si="115">ROUNDUP(H97/9,2)</f>
        <v>20000</v>
      </c>
      <c r="J97" s="148"/>
      <c r="K97" s="148">
        <v>0</v>
      </c>
      <c r="L97" s="148">
        <v>0</v>
      </c>
      <c r="M97" s="148">
        <v>0</v>
      </c>
      <c r="N97" s="148">
        <v>50000</v>
      </c>
      <c r="O97" s="112">
        <v>50000</v>
      </c>
      <c r="P97" s="112">
        <v>50000</v>
      </c>
      <c r="Q97" s="112">
        <v>50000</v>
      </c>
      <c r="R97" s="186">
        <f t="shared" si="114"/>
        <v>0</v>
      </c>
      <c r="S97" s="140"/>
    </row>
    <row r="98" spans="1:19" ht="24" x14ac:dyDescent="0.2">
      <c r="A98" s="92"/>
      <c r="B98" s="92" t="s">
        <v>981</v>
      </c>
      <c r="C98" s="96" t="s">
        <v>982</v>
      </c>
      <c r="D98" s="92" t="s">
        <v>2</v>
      </c>
      <c r="E98" s="92"/>
      <c r="F98" s="92"/>
      <c r="G98" s="90">
        <f>+G99+G102</f>
        <v>300000</v>
      </c>
      <c r="H98" s="90">
        <f t="shared" ref="H98:O98" si="116">+H99+H102</f>
        <v>300000</v>
      </c>
      <c r="I98" s="90">
        <f t="shared" si="116"/>
        <v>0</v>
      </c>
      <c r="J98" s="90">
        <f t="shared" si="116"/>
        <v>0</v>
      </c>
      <c r="K98" s="90">
        <f t="shared" si="116"/>
        <v>0</v>
      </c>
      <c r="L98" s="90">
        <f t="shared" si="116"/>
        <v>280000</v>
      </c>
      <c r="M98" s="90">
        <f t="shared" si="116"/>
        <v>0</v>
      </c>
      <c r="N98" s="90">
        <f t="shared" si="116"/>
        <v>0</v>
      </c>
      <c r="O98" s="90">
        <f t="shared" si="116"/>
        <v>20000</v>
      </c>
      <c r="P98" s="90">
        <f t="shared" ref="P98:R98" si="117">+P99+P102</f>
        <v>0</v>
      </c>
      <c r="Q98" s="90">
        <f t="shared" ref="Q98" si="118">+Q99+Q102</f>
        <v>0</v>
      </c>
      <c r="R98" s="90">
        <f t="shared" si="117"/>
        <v>0</v>
      </c>
      <c r="S98" s="90"/>
    </row>
    <row r="99" spans="1:19" ht="24" x14ac:dyDescent="0.2">
      <c r="A99" s="126"/>
      <c r="B99" s="126" t="s">
        <v>983</v>
      </c>
      <c r="C99" s="121" t="s">
        <v>984</v>
      </c>
      <c r="D99" s="120" t="s">
        <v>847</v>
      </c>
      <c r="E99" s="126"/>
      <c r="F99" s="126"/>
      <c r="G99" s="127">
        <f>+G100</f>
        <v>250000</v>
      </c>
      <c r="H99" s="127">
        <f t="shared" ref="H99:R100" si="119">+H100</f>
        <v>250000</v>
      </c>
      <c r="I99" s="127">
        <f t="shared" si="119"/>
        <v>0</v>
      </c>
      <c r="J99" s="127">
        <f t="shared" si="119"/>
        <v>0</v>
      </c>
      <c r="K99" s="127">
        <f t="shared" si="119"/>
        <v>0</v>
      </c>
      <c r="L99" s="127">
        <f t="shared" si="119"/>
        <v>230000</v>
      </c>
      <c r="M99" s="127">
        <f t="shared" si="119"/>
        <v>0</v>
      </c>
      <c r="N99" s="127">
        <f t="shared" si="119"/>
        <v>0</v>
      </c>
      <c r="O99" s="127">
        <f t="shared" si="119"/>
        <v>20000</v>
      </c>
      <c r="P99" s="127">
        <f t="shared" si="119"/>
        <v>0</v>
      </c>
      <c r="Q99" s="127">
        <f t="shared" si="119"/>
        <v>0</v>
      </c>
      <c r="R99" s="127">
        <f t="shared" si="119"/>
        <v>0</v>
      </c>
      <c r="S99" s="127"/>
    </row>
    <row r="100" spans="1:19" x14ac:dyDescent="0.2">
      <c r="A100" s="83"/>
      <c r="B100" s="83" t="s">
        <v>985</v>
      </c>
      <c r="C100" s="97" t="s">
        <v>980</v>
      </c>
      <c r="D100" s="83" t="s">
        <v>8</v>
      </c>
      <c r="E100" s="83"/>
      <c r="F100" s="83"/>
      <c r="G100" s="86">
        <f>+G101</f>
        <v>250000</v>
      </c>
      <c r="H100" s="86">
        <f t="shared" si="119"/>
        <v>250000</v>
      </c>
      <c r="I100" s="86">
        <f t="shared" si="119"/>
        <v>0</v>
      </c>
      <c r="J100" s="86">
        <f t="shared" ref="J100" si="120">+J101+J102+J103+J104</f>
        <v>0</v>
      </c>
      <c r="K100" s="86">
        <f>+K101</f>
        <v>0</v>
      </c>
      <c r="L100" s="86">
        <f t="shared" si="119"/>
        <v>230000</v>
      </c>
      <c r="M100" s="86">
        <f t="shared" si="119"/>
        <v>0</v>
      </c>
      <c r="N100" s="86">
        <f t="shared" si="119"/>
        <v>0</v>
      </c>
      <c r="O100" s="86">
        <f t="shared" si="119"/>
        <v>20000</v>
      </c>
      <c r="P100" s="86">
        <f t="shared" si="119"/>
        <v>0</v>
      </c>
      <c r="Q100" s="86">
        <f t="shared" si="119"/>
        <v>0</v>
      </c>
      <c r="R100" s="86">
        <f t="shared" si="119"/>
        <v>0</v>
      </c>
      <c r="S100" s="86"/>
    </row>
    <row r="101" spans="1:19" x14ac:dyDescent="0.2">
      <c r="A101" s="104">
        <v>60</v>
      </c>
      <c r="B101" s="104" t="s">
        <v>986</v>
      </c>
      <c r="C101" s="105" t="s">
        <v>980</v>
      </c>
      <c r="D101" s="104" t="s">
        <v>11</v>
      </c>
      <c r="E101" s="100" t="s">
        <v>905</v>
      </c>
      <c r="F101" s="104" t="s">
        <v>839</v>
      </c>
      <c r="G101" s="112">
        <v>250000</v>
      </c>
      <c r="H101" s="99">
        <v>250000</v>
      </c>
      <c r="I101" s="99">
        <v>0</v>
      </c>
      <c r="J101" s="106"/>
      <c r="K101" s="106">
        <v>0</v>
      </c>
      <c r="L101" s="106">
        <v>230000</v>
      </c>
      <c r="M101" s="106">
        <v>0</v>
      </c>
      <c r="N101" s="106">
        <v>0</v>
      </c>
      <c r="O101" s="106">
        <v>20000</v>
      </c>
      <c r="P101" s="106"/>
      <c r="Q101" s="106"/>
      <c r="R101" s="186">
        <f t="shared" ref="R101" si="121">+G101-J101-K101-L101-M101-N101-O101-P101-Q101</f>
        <v>0</v>
      </c>
      <c r="S101" s="106"/>
    </row>
    <row r="102" spans="1:19" ht="24" x14ac:dyDescent="0.2">
      <c r="A102" s="126"/>
      <c r="B102" s="126" t="s">
        <v>989</v>
      </c>
      <c r="C102" s="121" t="s">
        <v>991</v>
      </c>
      <c r="D102" s="120" t="s">
        <v>847</v>
      </c>
      <c r="E102" s="126"/>
      <c r="F102" s="126"/>
      <c r="G102" s="127">
        <f>+G103</f>
        <v>50000</v>
      </c>
      <c r="H102" s="127">
        <f>+H103</f>
        <v>50000</v>
      </c>
      <c r="I102" s="127">
        <f t="shared" ref="I102:K102" si="122">+I103+I108+I112</f>
        <v>0</v>
      </c>
      <c r="J102" s="127">
        <f t="shared" si="122"/>
        <v>0</v>
      </c>
      <c r="K102" s="127">
        <f t="shared" si="122"/>
        <v>0</v>
      </c>
      <c r="L102" s="127">
        <f>+L103</f>
        <v>50000</v>
      </c>
      <c r="M102" s="127">
        <f t="shared" ref="M102:R102" si="123">+M103</f>
        <v>0</v>
      </c>
      <c r="N102" s="127">
        <f t="shared" si="123"/>
        <v>0</v>
      </c>
      <c r="O102" s="127">
        <f t="shared" si="123"/>
        <v>0</v>
      </c>
      <c r="P102" s="127">
        <f t="shared" si="123"/>
        <v>0</v>
      </c>
      <c r="Q102" s="127">
        <f t="shared" si="123"/>
        <v>0</v>
      </c>
      <c r="R102" s="127">
        <f t="shared" si="123"/>
        <v>0</v>
      </c>
      <c r="S102" s="127"/>
    </row>
    <row r="103" spans="1:19" x14ac:dyDescent="0.2">
      <c r="A103" s="83"/>
      <c r="B103" s="83" t="s">
        <v>994</v>
      </c>
      <c r="C103" s="97" t="s">
        <v>992</v>
      </c>
      <c r="D103" s="83" t="s">
        <v>8</v>
      </c>
      <c r="E103" s="83"/>
      <c r="F103" s="83"/>
      <c r="G103" s="86">
        <f>+G104</f>
        <v>50000</v>
      </c>
      <c r="H103" s="86">
        <f t="shared" ref="H103:I103" si="124">+H104</f>
        <v>50000</v>
      </c>
      <c r="I103" s="86">
        <f t="shared" si="124"/>
        <v>0</v>
      </c>
      <c r="J103" s="86">
        <f t="shared" ref="J103" si="125">+J104+J105+J106+J107</f>
        <v>0</v>
      </c>
      <c r="K103" s="86">
        <f>+K104</f>
        <v>0</v>
      </c>
      <c r="L103" s="86">
        <f t="shared" ref="L103:R103" si="126">+L104</f>
        <v>50000</v>
      </c>
      <c r="M103" s="86">
        <f t="shared" si="126"/>
        <v>0</v>
      </c>
      <c r="N103" s="86">
        <f t="shared" si="126"/>
        <v>0</v>
      </c>
      <c r="O103" s="86">
        <f t="shared" si="126"/>
        <v>0</v>
      </c>
      <c r="P103" s="86">
        <f t="shared" si="126"/>
        <v>0</v>
      </c>
      <c r="Q103" s="86">
        <f t="shared" si="126"/>
        <v>0</v>
      </c>
      <c r="R103" s="86">
        <f t="shared" si="126"/>
        <v>0</v>
      </c>
      <c r="S103" s="86"/>
    </row>
    <row r="104" spans="1:19" x14ac:dyDescent="0.2">
      <c r="A104" s="104">
        <v>61</v>
      </c>
      <c r="B104" s="104" t="s">
        <v>990</v>
      </c>
      <c r="C104" s="105" t="s">
        <v>992</v>
      </c>
      <c r="D104" s="104" t="s">
        <v>11</v>
      </c>
      <c r="E104" s="100" t="s">
        <v>905</v>
      </c>
      <c r="F104" s="104" t="s">
        <v>839</v>
      </c>
      <c r="G104" s="112">
        <v>50000</v>
      </c>
      <c r="H104" s="99">
        <v>50000</v>
      </c>
      <c r="I104" s="99">
        <v>0</v>
      </c>
      <c r="J104" s="106"/>
      <c r="K104" s="106">
        <v>0</v>
      </c>
      <c r="L104" s="106">
        <v>50000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86">
        <f t="shared" ref="R104:R105" si="127">+G104-J104-K104-L104-M104-N104-O104-P104-Q104</f>
        <v>0</v>
      </c>
      <c r="S104" s="106"/>
    </row>
    <row r="105" spans="1:19" ht="24" x14ac:dyDescent="0.2">
      <c r="A105" s="91"/>
      <c r="B105" s="92" t="s">
        <v>975</v>
      </c>
      <c r="C105" s="96" t="s">
        <v>832</v>
      </c>
      <c r="D105" s="92" t="s">
        <v>2</v>
      </c>
      <c r="E105" s="92"/>
      <c r="F105" s="92"/>
      <c r="G105" s="90">
        <f>+H105</f>
        <v>4309421.88</v>
      </c>
      <c r="H105" s="90">
        <f>4309252.08+169.8</f>
        <v>4309421.88</v>
      </c>
      <c r="I105" s="90">
        <f t="shared" ref="H105:L106" si="128">+I106</f>
        <v>0</v>
      </c>
      <c r="J105" s="90">
        <f t="shared" si="128"/>
        <v>0</v>
      </c>
      <c r="K105" s="90">
        <f t="shared" si="128"/>
        <v>0</v>
      </c>
      <c r="L105" s="90">
        <f t="shared" si="128"/>
        <v>0</v>
      </c>
      <c r="M105" s="90">
        <f>+M106</f>
        <v>507900.92</v>
      </c>
      <c r="N105" s="90">
        <f t="shared" ref="N105" si="129">+N106</f>
        <v>507900.92</v>
      </c>
      <c r="O105" s="90">
        <v>1000000</v>
      </c>
      <c r="P105" s="90">
        <v>1000000</v>
      </c>
      <c r="Q105" s="90">
        <v>1293620.04</v>
      </c>
      <c r="R105" s="186">
        <f t="shared" si="127"/>
        <v>0</v>
      </c>
      <c r="S105" s="90"/>
    </row>
    <row r="106" spans="1:19" ht="24" x14ac:dyDescent="0.2">
      <c r="A106" s="120"/>
      <c r="B106" s="120" t="s">
        <v>976</v>
      </c>
      <c r="C106" s="121" t="s">
        <v>906</v>
      </c>
      <c r="D106" s="120" t="s">
        <v>847</v>
      </c>
      <c r="E106" s="120"/>
      <c r="F106" s="120"/>
      <c r="G106" s="122">
        <f>+G107</f>
        <v>2539504.58</v>
      </c>
      <c r="H106" s="122">
        <f t="shared" si="128"/>
        <v>2539504.58</v>
      </c>
      <c r="I106" s="122">
        <f t="shared" si="128"/>
        <v>0</v>
      </c>
      <c r="J106" s="122">
        <f t="shared" si="128"/>
        <v>0</v>
      </c>
      <c r="K106" s="122">
        <v>0</v>
      </c>
      <c r="L106" s="122">
        <v>0</v>
      </c>
      <c r="M106" s="122">
        <f>+M107</f>
        <v>507900.92</v>
      </c>
      <c r="N106" s="122">
        <f t="shared" ref="N106:R106" si="130">+N107</f>
        <v>507900.92</v>
      </c>
      <c r="O106" s="122">
        <f t="shared" si="130"/>
        <v>1523702.7400000002</v>
      </c>
      <c r="P106" s="122">
        <f t="shared" si="130"/>
        <v>0</v>
      </c>
      <c r="Q106" s="122">
        <f t="shared" si="130"/>
        <v>0</v>
      </c>
      <c r="R106" s="122">
        <f t="shared" si="130"/>
        <v>0</v>
      </c>
      <c r="S106" s="122"/>
    </row>
    <row r="107" spans="1:19" x14ac:dyDescent="0.2">
      <c r="A107" s="81"/>
      <c r="B107" s="81" t="s">
        <v>977</v>
      </c>
      <c r="C107" s="94" t="s">
        <v>898</v>
      </c>
      <c r="D107" s="81" t="s">
        <v>8</v>
      </c>
      <c r="E107" s="81"/>
      <c r="F107" s="81"/>
      <c r="G107" s="85">
        <v>2539504.58</v>
      </c>
      <c r="H107" s="85">
        <f>+G107</f>
        <v>2539504.58</v>
      </c>
      <c r="I107" s="85">
        <v>0</v>
      </c>
      <c r="J107" s="85"/>
      <c r="K107" s="85">
        <f>+K106</f>
        <v>0</v>
      </c>
      <c r="L107" s="85">
        <f t="shared" ref="L107" si="131">+L106</f>
        <v>0</v>
      </c>
      <c r="M107" s="85">
        <v>507900.92</v>
      </c>
      <c r="N107" s="85">
        <v>507900.92</v>
      </c>
      <c r="O107" s="85">
        <v>1523702.7400000002</v>
      </c>
      <c r="P107" s="85"/>
      <c r="Q107" s="85"/>
      <c r="R107" s="85"/>
      <c r="S107" s="85"/>
    </row>
    <row r="108" spans="1:19" x14ac:dyDescent="0.2">
      <c r="A108" s="104">
        <v>62</v>
      </c>
      <c r="B108" s="104" t="s">
        <v>995</v>
      </c>
      <c r="C108" s="105" t="s">
        <v>996</v>
      </c>
      <c r="D108" s="104" t="s">
        <v>11</v>
      </c>
      <c r="E108" s="100" t="s">
        <v>997</v>
      </c>
      <c r="F108" s="104"/>
      <c r="G108" s="101">
        <f>+G107</f>
        <v>2539504.58</v>
      </c>
      <c r="H108" s="99">
        <f>+H107</f>
        <v>2539504.58</v>
      </c>
      <c r="I108" s="99">
        <v>0</v>
      </c>
      <c r="J108" s="106"/>
      <c r="K108" s="106">
        <v>0</v>
      </c>
      <c r="L108" s="106">
        <v>0</v>
      </c>
      <c r="M108" s="106">
        <f>+M107</f>
        <v>507900.92</v>
      </c>
      <c r="N108" s="106">
        <f>+N107</f>
        <v>507900.92</v>
      </c>
      <c r="O108" s="106">
        <f>+O107</f>
        <v>1523702.7400000002</v>
      </c>
      <c r="P108" s="106">
        <v>0</v>
      </c>
      <c r="Q108" s="106">
        <v>0</v>
      </c>
      <c r="R108" s="106"/>
      <c r="S108" s="106"/>
    </row>
    <row r="109" spans="1:19" x14ac:dyDescent="0.2">
      <c r="M109" s="78"/>
      <c r="N109" s="79"/>
    </row>
    <row r="110" spans="1:19" s="174" customFormat="1" x14ac:dyDescent="0.2">
      <c r="M110" s="78"/>
      <c r="N110" s="79"/>
    </row>
    <row r="111" spans="1:19" x14ac:dyDescent="0.2">
      <c r="M111" s="78"/>
      <c r="N111" s="79"/>
    </row>
    <row r="112" spans="1:19" x14ac:dyDescent="0.2">
      <c r="M112" s="188"/>
      <c r="N112" s="32"/>
    </row>
    <row r="114" spans="7:17" x14ac:dyDescent="0.2">
      <c r="M114" s="187"/>
      <c r="N114" s="79"/>
      <c r="O114" s="175"/>
      <c r="P114" s="175"/>
      <c r="Q114" s="175"/>
    </row>
    <row r="115" spans="7:17" x14ac:dyDescent="0.2">
      <c r="G115" s="150"/>
      <c r="M115" s="78"/>
      <c r="N115" s="79"/>
      <c r="O115" s="175"/>
      <c r="P115" s="175"/>
      <c r="Q115" s="175"/>
    </row>
    <row r="116" spans="7:17" x14ac:dyDescent="0.2">
      <c r="M116" s="78"/>
      <c r="N116" s="79"/>
      <c r="O116" s="175"/>
      <c r="P116" s="175"/>
      <c r="Q116" s="175"/>
    </row>
    <row r="117" spans="7:17" x14ac:dyDescent="0.2">
      <c r="N117" s="175"/>
      <c r="O117" s="175"/>
      <c r="P117" s="175"/>
      <c r="Q117" s="175"/>
    </row>
    <row r="118" spans="7:17" x14ac:dyDescent="0.2">
      <c r="N118" s="175"/>
      <c r="O118" s="175"/>
      <c r="P118" s="175"/>
      <c r="Q118" s="175"/>
    </row>
    <row r="119" spans="7:17" x14ac:dyDescent="0.2">
      <c r="N119" s="175"/>
      <c r="O119" s="175"/>
      <c r="P119" s="175"/>
      <c r="Q119" s="175"/>
    </row>
    <row r="120" spans="7:17" x14ac:dyDescent="0.2">
      <c r="N120" s="175"/>
      <c r="O120" s="175"/>
      <c r="P120" s="175"/>
      <c r="Q120" s="175"/>
    </row>
    <row r="121" spans="7:17" x14ac:dyDescent="0.2">
      <c r="N121" s="175"/>
      <c r="O121" s="175"/>
      <c r="P121" s="175"/>
      <c r="Q121" s="175"/>
    </row>
    <row r="122" spans="7:17" x14ac:dyDescent="0.2">
      <c r="N122" s="175"/>
      <c r="O122" s="175"/>
      <c r="P122" s="175"/>
      <c r="Q122" s="175"/>
    </row>
    <row r="123" spans="7:17" x14ac:dyDescent="0.2">
      <c r="N123" s="175"/>
      <c r="O123" s="175"/>
      <c r="P123" s="175"/>
      <c r="Q123" s="175"/>
    </row>
  </sheetData>
  <autoFilter ref="A3:S108" xr:uid="{00000000-0009-0000-0000-000004000000}"/>
  <phoneticPr fontId="9" type="noConversion"/>
  <pageMargins left="0.25" right="0.25" top="0.75" bottom="0.75" header="0.3" footer="0.3"/>
  <pageSetup paperSize="8" scale="93" fitToHeight="0" orientation="landscape" r:id="rId1"/>
  <headerFooter>
    <oddFooter>&amp;C&amp;P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F61-9DDA-476A-846A-02331E3E09A5}">
  <dimension ref="A4:M34"/>
  <sheetViews>
    <sheetView workbookViewId="0">
      <selection activeCell="A31" sqref="A31"/>
    </sheetView>
  </sheetViews>
  <sheetFormatPr defaultRowHeight="12.75" x14ac:dyDescent="0.2"/>
  <cols>
    <col min="1" max="1" width="26" style="153" customWidth="1"/>
    <col min="2" max="2" width="22" customWidth="1"/>
    <col min="3" max="3" width="12" customWidth="1"/>
    <col min="4" max="4" width="15.85546875" customWidth="1"/>
    <col min="5" max="5" width="20.85546875" customWidth="1"/>
    <col min="6" max="6" width="13.85546875" customWidth="1"/>
    <col min="7" max="7" width="12.5703125" customWidth="1"/>
    <col min="8" max="8" width="15.5703125" customWidth="1"/>
    <col min="9" max="9" width="14" customWidth="1"/>
    <col min="11" max="11" width="15" customWidth="1"/>
    <col min="12" max="12" width="16.140625" customWidth="1"/>
    <col min="13" max="13" width="12.7109375" bestFit="1" customWidth="1"/>
  </cols>
  <sheetData>
    <row r="4" spans="1:13" s="153" customFormat="1" ht="76.5" x14ac:dyDescent="0.2">
      <c r="A4" s="155" t="s">
        <v>1018</v>
      </c>
      <c r="B4" s="155" t="s">
        <v>847</v>
      </c>
      <c r="C4" s="155" t="s">
        <v>1019</v>
      </c>
      <c r="D4" s="155" t="s">
        <v>1020</v>
      </c>
      <c r="E4" s="155" t="s">
        <v>1021</v>
      </c>
      <c r="F4" s="155" t="s">
        <v>1022</v>
      </c>
      <c r="G4" s="155" t="s">
        <v>1023</v>
      </c>
      <c r="H4" s="155" t="s">
        <v>1024</v>
      </c>
      <c r="I4" s="155" t="s">
        <v>1025</v>
      </c>
    </row>
    <row r="5" spans="1:13" x14ac:dyDescent="0.2">
      <c r="A5" s="197" t="s">
        <v>1026</v>
      </c>
      <c r="B5" s="6" t="s">
        <v>1027</v>
      </c>
      <c r="C5" s="6" t="s">
        <v>1028</v>
      </c>
      <c r="D5" s="156">
        <f>+'AN 2025'!H6</f>
        <v>12934848.210000001</v>
      </c>
      <c r="E5" s="156">
        <f t="shared" ref="E5:E8" si="0">ROUNDUP(+F5+G5,2)</f>
        <v>4311616.12</v>
      </c>
      <c r="F5" s="156">
        <f>+'AN 2025'!I6</f>
        <v>4311616.12</v>
      </c>
      <c r="G5" s="6">
        <v>0</v>
      </c>
      <c r="H5" s="156">
        <f t="shared" ref="H5:H8" si="1">+D5+E5</f>
        <v>17246464.330000002</v>
      </c>
      <c r="I5" s="157">
        <v>75</v>
      </c>
      <c r="J5" s="158">
        <f>+D5/H5</f>
        <v>0.74999999782564131</v>
      </c>
      <c r="K5" s="159"/>
      <c r="L5" s="176">
        <v>12934848.210000001</v>
      </c>
    </row>
    <row r="6" spans="1:13" ht="25.5" x14ac:dyDescent="0.2">
      <c r="A6" s="198"/>
      <c r="B6" s="180" t="s">
        <v>1049</v>
      </c>
      <c r="C6" s="6" t="s">
        <v>1028</v>
      </c>
      <c r="D6" s="156">
        <f>+'AN 2025'!H27</f>
        <v>21518221.697999999</v>
      </c>
      <c r="E6" s="156">
        <f t="shared" si="0"/>
        <v>2390913.5299999998</v>
      </c>
      <c r="F6" s="156">
        <f>+'AN 2025'!I27</f>
        <v>2390913.5299999998</v>
      </c>
      <c r="G6" s="6">
        <v>0</v>
      </c>
      <c r="H6" s="156">
        <f t="shared" si="1"/>
        <v>23909135.228</v>
      </c>
      <c r="I6" s="157">
        <v>90</v>
      </c>
      <c r="J6" s="158">
        <f>+D6/H6</f>
        <v>0.8999999996988598</v>
      </c>
      <c r="K6" s="159"/>
      <c r="L6" s="177">
        <v>21518221.697999999</v>
      </c>
    </row>
    <row r="7" spans="1:13" x14ac:dyDescent="0.2">
      <c r="A7" s="198"/>
      <c r="B7" s="6" t="s">
        <v>1029</v>
      </c>
      <c r="C7" s="6" t="s">
        <v>1028</v>
      </c>
      <c r="D7" s="156">
        <f>+'AN 2025'!H40</f>
        <v>7770000</v>
      </c>
      <c r="E7" s="156">
        <f t="shared" si="0"/>
        <v>863333.34</v>
      </c>
      <c r="F7" s="156">
        <f>+'AN 2025'!I40</f>
        <v>863333.34000000008</v>
      </c>
      <c r="G7" s="6">
        <v>0</v>
      </c>
      <c r="H7" s="156">
        <f t="shared" si="1"/>
        <v>8633333.3399999999</v>
      </c>
      <c r="I7" s="157">
        <v>90</v>
      </c>
      <c r="J7" s="158">
        <f t="shared" ref="J7:J20" si="2">+D7/H7</f>
        <v>0.89999999930501928</v>
      </c>
      <c r="L7" s="177">
        <v>7770000</v>
      </c>
    </row>
    <row r="8" spans="1:13" x14ac:dyDescent="0.2">
      <c r="A8" s="199"/>
      <c r="B8" s="6" t="s">
        <v>408</v>
      </c>
      <c r="C8" s="6" t="s">
        <v>1028</v>
      </c>
      <c r="D8" s="156">
        <f>+'AN 2025'!H45</f>
        <v>3006775</v>
      </c>
      <c r="E8" s="156">
        <f t="shared" si="0"/>
        <v>0</v>
      </c>
      <c r="F8" s="156">
        <f>+'AN 2025'!I45</f>
        <v>0</v>
      </c>
      <c r="G8" s="6">
        <v>0</v>
      </c>
      <c r="H8" s="156">
        <f t="shared" si="1"/>
        <v>3006775</v>
      </c>
      <c r="I8" s="157">
        <v>100</v>
      </c>
      <c r="J8" s="158">
        <f t="shared" si="2"/>
        <v>1</v>
      </c>
      <c r="L8" s="177">
        <v>3006775</v>
      </c>
    </row>
    <row r="9" spans="1:13" ht="25.5" x14ac:dyDescent="0.2">
      <c r="A9" s="160" t="s">
        <v>1030</v>
      </c>
      <c r="B9" s="161"/>
      <c r="C9" s="161"/>
      <c r="D9" s="162">
        <f>SUM(D5:D8)</f>
        <v>45229844.908</v>
      </c>
      <c r="E9" s="162">
        <f t="shared" ref="E9:H9" si="3">SUM(E5:E8)</f>
        <v>7565862.9900000002</v>
      </c>
      <c r="F9" s="162">
        <f t="shared" si="3"/>
        <v>7565862.9900000002</v>
      </c>
      <c r="G9" s="162">
        <f t="shared" si="3"/>
        <v>0</v>
      </c>
      <c r="H9" s="162">
        <f t="shared" si="3"/>
        <v>52795707.898000002</v>
      </c>
      <c r="I9" s="172">
        <f>+D9/H9</f>
        <v>0.85669549114452515</v>
      </c>
      <c r="L9" s="178">
        <v>45229844.908</v>
      </c>
      <c r="M9" s="175">
        <f>SUM(L5:L8)</f>
        <v>45229844.908</v>
      </c>
    </row>
    <row r="10" spans="1:13" x14ac:dyDescent="0.2">
      <c r="A10" s="197" t="s">
        <v>1031</v>
      </c>
      <c r="B10" s="6" t="s">
        <v>1027</v>
      </c>
      <c r="C10" s="6" t="s">
        <v>1028</v>
      </c>
      <c r="D10" s="156">
        <f>+'AN 2025'!H50</f>
        <v>16888316.789999999</v>
      </c>
      <c r="E10" s="156">
        <f>ROUNDUP(+F10+G10,2)</f>
        <v>5629438.9699999997</v>
      </c>
      <c r="F10" s="156">
        <f>+'AN 2025'!I50</f>
        <v>5629438.9699999988</v>
      </c>
      <c r="G10" s="6">
        <v>0</v>
      </c>
      <c r="H10" s="156">
        <f t="shared" ref="H10:H12" si="4">+D10+E10</f>
        <v>22517755.759999998</v>
      </c>
      <c r="I10" s="157">
        <v>75</v>
      </c>
      <c r="J10" s="158">
        <f t="shared" si="2"/>
        <v>0.74999999866771805</v>
      </c>
      <c r="L10" s="177">
        <v>16888486.59</v>
      </c>
    </row>
    <row r="11" spans="1:13" x14ac:dyDescent="0.2">
      <c r="A11" s="198"/>
      <c r="B11" s="6" t="s">
        <v>1029</v>
      </c>
      <c r="C11" s="6" t="s">
        <v>1028</v>
      </c>
      <c r="D11" s="156">
        <v>0</v>
      </c>
      <c r="E11" s="156">
        <f>ROUNDUP(+F11+G11,2)</f>
        <v>0</v>
      </c>
      <c r="F11" s="156">
        <f t="shared" ref="F11:F18" si="5">ROUNDUP(+D11*(100-I11)/I11,2)</f>
        <v>0</v>
      </c>
      <c r="G11" s="6">
        <v>0</v>
      </c>
      <c r="H11" s="156">
        <f t="shared" si="4"/>
        <v>0</v>
      </c>
      <c r="I11" s="157">
        <v>90</v>
      </c>
      <c r="J11" s="158"/>
      <c r="L11" s="177">
        <v>0</v>
      </c>
    </row>
    <row r="12" spans="1:13" x14ac:dyDescent="0.2">
      <c r="A12" s="199"/>
      <c r="B12" s="6" t="s">
        <v>408</v>
      </c>
      <c r="C12" s="6" t="s">
        <v>1028</v>
      </c>
      <c r="D12" s="156">
        <f>+'AN 2025'!H73</f>
        <v>700000</v>
      </c>
      <c r="E12" s="156">
        <f>ROUNDUP(+F12+G12,2)</f>
        <v>0</v>
      </c>
      <c r="F12" s="156">
        <f>+'AN 2025'!I73</f>
        <v>0</v>
      </c>
      <c r="G12" s="6">
        <v>0</v>
      </c>
      <c r="H12" s="156">
        <f t="shared" si="4"/>
        <v>700000</v>
      </c>
      <c r="I12" s="157">
        <v>100</v>
      </c>
      <c r="J12" s="158">
        <f t="shared" si="2"/>
        <v>1</v>
      </c>
      <c r="L12" s="177">
        <v>700000</v>
      </c>
    </row>
    <row r="13" spans="1:13" ht="25.5" x14ac:dyDescent="0.2">
      <c r="A13" s="160" t="s">
        <v>1032</v>
      </c>
      <c r="B13" s="161"/>
      <c r="C13" s="161"/>
      <c r="D13" s="162">
        <f>SUM(D10:D12)</f>
        <v>17588316.789999999</v>
      </c>
      <c r="E13" s="162">
        <f t="shared" ref="E13:H13" si="6">SUM(E10:E12)</f>
        <v>5629438.9699999997</v>
      </c>
      <c r="F13" s="162">
        <f t="shared" si="6"/>
        <v>5629438.9699999988</v>
      </c>
      <c r="G13" s="162">
        <f t="shared" si="6"/>
        <v>0</v>
      </c>
      <c r="H13" s="162">
        <f t="shared" si="6"/>
        <v>23217755.759999998</v>
      </c>
      <c r="I13" s="172">
        <f>+D13/H13</f>
        <v>0.75753733357388031</v>
      </c>
      <c r="L13" s="178">
        <v>17588486.59</v>
      </c>
      <c r="M13" s="175">
        <f>SUM(L10:L12)</f>
        <v>17588486.59</v>
      </c>
    </row>
    <row r="14" spans="1:13" x14ac:dyDescent="0.2">
      <c r="A14" s="197" t="s">
        <v>1033</v>
      </c>
      <c r="B14" s="6" t="s">
        <v>1027</v>
      </c>
      <c r="C14" s="6" t="s">
        <v>1028</v>
      </c>
      <c r="D14" s="156">
        <f>+'AN 2025'!H77</f>
        <v>8463796.4199999999</v>
      </c>
      <c r="E14" s="156">
        <f>ROUNDUP(+F14+G14,2)</f>
        <v>2771265.5</v>
      </c>
      <c r="F14" s="156">
        <f>+'AN 2025'!I77</f>
        <v>2771265.5</v>
      </c>
      <c r="G14" s="6">
        <v>0</v>
      </c>
      <c r="H14" s="156">
        <f>+D14+E14</f>
        <v>11235061.92</v>
      </c>
      <c r="I14" s="157">
        <v>75</v>
      </c>
      <c r="J14" s="158">
        <f t="shared" si="2"/>
        <v>0.75333776353588622</v>
      </c>
      <c r="L14" s="177">
        <v>8463796.4199999999</v>
      </c>
    </row>
    <row r="15" spans="1:13" x14ac:dyDescent="0.2">
      <c r="A15" s="199"/>
      <c r="B15" s="6" t="s">
        <v>1029</v>
      </c>
      <c r="C15" s="6" t="s">
        <v>1028</v>
      </c>
      <c r="D15" s="156">
        <f>+'AN 2025'!H94</f>
        <v>241740</v>
      </c>
      <c r="E15" s="156">
        <f>ROUNDUP(+F15+G15,2)</f>
        <v>26860</v>
      </c>
      <c r="F15" s="156">
        <f>+'AN 2025'!I94</f>
        <v>26860</v>
      </c>
      <c r="G15" s="6">
        <v>0</v>
      </c>
      <c r="H15" s="156">
        <f t="shared" ref="H15" si="7">+D15+E15</f>
        <v>268600</v>
      </c>
      <c r="I15" s="157">
        <v>90</v>
      </c>
      <c r="J15" s="158">
        <f t="shared" si="2"/>
        <v>0.9</v>
      </c>
      <c r="L15" s="177">
        <v>241740</v>
      </c>
    </row>
    <row r="16" spans="1:13" x14ac:dyDescent="0.2">
      <c r="A16" s="160" t="s">
        <v>1034</v>
      </c>
      <c r="B16" s="161"/>
      <c r="C16" s="161"/>
      <c r="D16" s="162">
        <f>SUM(D14:D15)</f>
        <v>8705536.4199999999</v>
      </c>
      <c r="E16" s="162">
        <f t="shared" ref="E16:H16" si="8">SUM(E14:E15)</f>
        <v>2798125.5</v>
      </c>
      <c r="F16" s="162">
        <f>SUM(F14:F15)</f>
        <v>2798125.5</v>
      </c>
      <c r="G16" s="162">
        <f t="shared" si="8"/>
        <v>0</v>
      </c>
      <c r="H16" s="162">
        <f t="shared" si="8"/>
        <v>11503661.92</v>
      </c>
      <c r="I16" s="172">
        <f>+D16/H16</f>
        <v>0.7567621928165984</v>
      </c>
      <c r="L16" s="178">
        <v>8705536.4199999999</v>
      </c>
      <c r="M16" s="175">
        <f>SUM(L14:L15)</f>
        <v>8705536.4199999999</v>
      </c>
    </row>
    <row r="17" spans="1:13" x14ac:dyDescent="0.2">
      <c r="A17" s="197" t="s">
        <v>1035</v>
      </c>
      <c r="B17" s="6" t="s">
        <v>1027</v>
      </c>
      <c r="C17" s="6" t="s">
        <v>1028</v>
      </c>
      <c r="D17" s="156">
        <v>0</v>
      </c>
      <c r="E17" s="156">
        <f t="shared" ref="E17:E20" si="9">+F17+G17</f>
        <v>0</v>
      </c>
      <c r="F17" s="156">
        <f t="shared" si="5"/>
        <v>0</v>
      </c>
      <c r="G17" s="6">
        <v>0</v>
      </c>
      <c r="H17" s="156">
        <f t="shared" ref="H17:H20" si="10">+D17+E17</f>
        <v>0</v>
      </c>
      <c r="I17" s="157">
        <v>75</v>
      </c>
      <c r="J17" s="158"/>
      <c r="L17" s="177">
        <v>0</v>
      </c>
    </row>
    <row r="18" spans="1:13" x14ac:dyDescent="0.2">
      <c r="A18" s="198"/>
      <c r="B18" s="6" t="s">
        <v>1029</v>
      </c>
      <c r="C18" s="6" t="s">
        <v>1028</v>
      </c>
      <c r="D18" s="156">
        <v>0</v>
      </c>
      <c r="E18" s="156">
        <f t="shared" si="9"/>
        <v>0</v>
      </c>
      <c r="F18" s="156">
        <f t="shared" si="5"/>
        <v>0</v>
      </c>
      <c r="G18" s="6">
        <v>0</v>
      </c>
      <c r="H18" s="156">
        <f t="shared" si="10"/>
        <v>0</v>
      </c>
      <c r="I18" s="157">
        <v>90</v>
      </c>
      <c r="J18" s="158"/>
      <c r="L18" s="177">
        <v>0</v>
      </c>
    </row>
    <row r="19" spans="1:13" ht="25.5" x14ac:dyDescent="0.2">
      <c r="A19" s="198"/>
      <c r="B19" s="163" t="s">
        <v>1036</v>
      </c>
      <c r="C19" s="6" t="s">
        <v>1028</v>
      </c>
      <c r="D19" s="156">
        <f>+'AN 2025'!H102</f>
        <v>50000</v>
      </c>
      <c r="E19" s="156">
        <f t="shared" si="9"/>
        <v>0</v>
      </c>
      <c r="F19" s="156">
        <f>+'AN 2025'!I102</f>
        <v>0</v>
      </c>
      <c r="G19" s="6">
        <v>0</v>
      </c>
      <c r="H19" s="156">
        <f t="shared" si="10"/>
        <v>50000</v>
      </c>
      <c r="I19" s="157">
        <v>100</v>
      </c>
      <c r="J19" s="158"/>
      <c r="L19" s="177">
        <v>50000</v>
      </c>
    </row>
    <row r="20" spans="1:13" ht="25.5" x14ac:dyDescent="0.2">
      <c r="A20" s="199"/>
      <c r="B20" s="163" t="s">
        <v>1037</v>
      </c>
      <c r="C20" s="6" t="s">
        <v>1028</v>
      </c>
      <c r="D20" s="156">
        <f>+'AN 2025'!G99</f>
        <v>250000</v>
      </c>
      <c r="E20" s="156">
        <f t="shared" si="9"/>
        <v>0</v>
      </c>
      <c r="F20" s="156">
        <f>+'AN 2025'!I99</f>
        <v>0</v>
      </c>
      <c r="G20" s="6">
        <v>0</v>
      </c>
      <c r="H20" s="156">
        <f t="shared" si="10"/>
        <v>250000</v>
      </c>
      <c r="I20" s="157">
        <v>100</v>
      </c>
      <c r="J20" s="158">
        <f t="shared" si="2"/>
        <v>1</v>
      </c>
      <c r="L20" s="177">
        <v>250000</v>
      </c>
    </row>
    <row r="21" spans="1:13" s="80" customFormat="1" x14ac:dyDescent="0.2">
      <c r="A21" s="164" t="s">
        <v>1038</v>
      </c>
      <c r="B21" s="162"/>
      <c r="C21" s="162"/>
      <c r="D21" s="162">
        <f>SUM(D17:D20)</f>
        <v>300000</v>
      </c>
      <c r="E21" s="162">
        <f t="shared" ref="E21:H21" si="11">SUM(E17:E20)</f>
        <v>0</v>
      </c>
      <c r="F21" s="162">
        <f t="shared" si="11"/>
        <v>0</v>
      </c>
      <c r="G21" s="162">
        <f t="shared" si="11"/>
        <v>0</v>
      </c>
      <c r="H21" s="162">
        <f t="shared" si="11"/>
        <v>300000</v>
      </c>
      <c r="I21" s="162"/>
      <c r="L21" s="178">
        <v>300000</v>
      </c>
      <c r="M21" s="80">
        <f>SUM(L17:L20)</f>
        <v>300000</v>
      </c>
    </row>
    <row r="22" spans="1:13" x14ac:dyDescent="0.2">
      <c r="A22" s="163"/>
      <c r="B22" s="6" t="s">
        <v>1039</v>
      </c>
      <c r="C22" s="6"/>
      <c r="D22" s="165">
        <f>+'AN 2025'!G105</f>
        <v>4309421.88</v>
      </c>
      <c r="E22" s="6">
        <v>0</v>
      </c>
      <c r="F22" s="156">
        <v>0</v>
      </c>
      <c r="G22" s="6">
        <v>0</v>
      </c>
      <c r="H22" s="156">
        <f>+D22+E22</f>
        <v>4309421.88</v>
      </c>
      <c r="I22" s="6"/>
      <c r="L22" s="177">
        <v>4309252.08</v>
      </c>
    </row>
    <row r="23" spans="1:13" ht="15" x14ac:dyDescent="0.25">
      <c r="A23" s="166" t="s">
        <v>1040</v>
      </c>
      <c r="B23" s="167"/>
      <c r="C23" s="167"/>
      <c r="D23" s="168">
        <f>+D9+D13+D16+D21+D22</f>
        <v>76133119.997999996</v>
      </c>
      <c r="E23" s="168">
        <f>+E9+E13+E16+E21+E22</f>
        <v>15993427.460000001</v>
      </c>
      <c r="F23" s="168">
        <f>+F9+F13+F16+F21+F22</f>
        <v>15993427.459999999</v>
      </c>
      <c r="G23" s="168">
        <f>+G9+G13+G16+G21+G22</f>
        <v>0</v>
      </c>
      <c r="H23" s="168">
        <f>+H9+H13+H16+H21+H22</f>
        <v>92126547.457999989</v>
      </c>
      <c r="I23" s="173">
        <f>+D23/H23</f>
        <v>0.82639719058948435</v>
      </c>
      <c r="L23" s="179">
        <v>76133119.997999996</v>
      </c>
      <c r="M23" s="175">
        <f>+M9+M13+M16+M21+L22</f>
        <v>76133119.997999996</v>
      </c>
    </row>
    <row r="24" spans="1:13" x14ac:dyDescent="0.2">
      <c r="H24" s="80">
        <f>+D23+E23</f>
        <v>92126547.458000004</v>
      </c>
    </row>
    <row r="25" spans="1:13" x14ac:dyDescent="0.2">
      <c r="D25" s="80">
        <v>44811581</v>
      </c>
    </row>
    <row r="26" spans="1:13" x14ac:dyDescent="0.2">
      <c r="D26" s="80">
        <f>+D23-D25</f>
        <v>31321538.997999996</v>
      </c>
      <c r="H26" s="80"/>
    </row>
    <row r="27" spans="1:13" x14ac:dyDescent="0.2">
      <c r="H27" s="80"/>
    </row>
    <row r="28" spans="1:13" x14ac:dyDescent="0.2">
      <c r="D28" s="80"/>
      <c r="H28" s="80"/>
    </row>
    <row r="29" spans="1:13" ht="13.5" thickBot="1" x14ac:dyDescent="0.25"/>
    <row r="30" spans="1:13" ht="13.5" thickBot="1" x14ac:dyDescent="0.25">
      <c r="D30" s="169">
        <v>325000</v>
      </c>
    </row>
    <row r="31" spans="1:13" ht="13.5" thickBot="1" x14ac:dyDescent="0.25">
      <c r="D31" s="170">
        <f>3734252.08+169.8</f>
        <v>3734421.88</v>
      </c>
    </row>
    <row r="32" spans="1:13" ht="13.5" thickBot="1" x14ac:dyDescent="0.25">
      <c r="D32" s="170">
        <v>250000</v>
      </c>
    </row>
    <row r="33" spans="4:5" ht="13.5" thickBot="1" x14ac:dyDescent="0.25">
      <c r="D33" s="171">
        <v>0</v>
      </c>
    </row>
    <row r="34" spans="4:5" x14ac:dyDescent="0.2">
      <c r="D34" s="175">
        <f>SUM(D30:D33)</f>
        <v>4309421.88</v>
      </c>
      <c r="E34" s="175">
        <f>+D34-D22</f>
        <v>0</v>
      </c>
    </row>
  </sheetData>
  <mergeCells count="4">
    <mergeCell ref="A5:A8"/>
    <mergeCell ref="A10:A12"/>
    <mergeCell ref="A14:A15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AMIF MNZ</vt:lpstr>
      <vt:lpstr>ISF MEJE</vt:lpstr>
      <vt:lpstr>ISFP</vt:lpstr>
      <vt:lpstr>List1</vt:lpstr>
      <vt:lpstr>AN 2025</vt:lpstr>
      <vt:lpstr>Tabela</vt:lpstr>
      <vt:lpstr>'AN 2025'!Področje_tiskanja</vt:lpstr>
      <vt:lpstr>'AN 2025'!Tiskanje_naslovov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2025-12-23T14:12:00Z</cp:lastPrinted>
  <dcterms:created xsi:type="dcterms:W3CDTF">2017-02-15T08:56:09Z</dcterms:created>
  <dcterms:modified xsi:type="dcterms:W3CDTF">2025-12-23T14:12:11Z</dcterms:modified>
</cp:coreProperties>
</file>