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a_delovni_zvezek"/>
  <mc:AlternateContent xmlns:mc="http://schemas.openxmlformats.org/markup-compatibility/2006">
    <mc:Choice Requires="x15">
      <x15ac:absPath xmlns:x15ac="http://schemas.microsoft.com/office/spreadsheetml/2010/11/ac" url="S:\UFZN-PESNVM\24 MFF 2021\08 -PROGRAMSKI DOKUMENTI\00- AN\Veljavni AN\"/>
    </mc:Choice>
  </mc:AlternateContent>
  <xr:revisionPtr revIDLastSave="0" documentId="13_ncr:1_{BE933790-A1F4-40A2-AE73-899741980845}" xr6:coauthVersionLast="47" xr6:coauthVersionMax="47" xr10:uidLastSave="{00000000-0000-0000-0000-000000000000}"/>
  <bookViews>
    <workbookView xWindow="-38520" yWindow="-120" windowWidth="38640" windowHeight="21120" firstSheet="4" activeTab="4" xr2:uid="{00000000-000D-0000-FFFF-FFFF00000000}"/>
  </bookViews>
  <sheets>
    <sheet name="AMIF MNZ" sheetId="3" state="hidden" r:id="rId1"/>
    <sheet name="ISF MEJE" sheetId="5" state="hidden" r:id="rId2"/>
    <sheet name="ISFP" sheetId="1" state="hidden" r:id="rId3"/>
    <sheet name="List1" sheetId="6" state="hidden" r:id="rId4"/>
    <sheet name="AN" sheetId="9" r:id="rId5"/>
  </sheets>
  <definedNames>
    <definedName name="_xlnm._FilterDatabase" localSheetId="4" hidden="1">AN!$A$3:$R$86</definedName>
    <definedName name="_xlnm.Print_Titles" localSheetId="4">AN!$3:$3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9" l="1"/>
  <c r="J5" i="9"/>
  <c r="K5" i="9"/>
  <c r="L5" i="9"/>
  <c r="M5" i="9"/>
  <c r="N5" i="9"/>
  <c r="O5" i="9"/>
  <c r="P5" i="9"/>
  <c r="Q5" i="9"/>
  <c r="H5" i="9"/>
  <c r="Q38" i="9" l="1"/>
  <c r="H38" i="9"/>
  <c r="I38" i="9"/>
  <c r="J38" i="9"/>
  <c r="K38" i="9"/>
  <c r="L38" i="9"/>
  <c r="M38" i="9"/>
  <c r="N38" i="9"/>
  <c r="O38" i="9"/>
  <c r="P38" i="9"/>
  <c r="G38" i="9"/>
  <c r="H35" i="9"/>
  <c r="J35" i="9"/>
  <c r="K35" i="9"/>
  <c r="L35" i="9"/>
  <c r="M35" i="9"/>
  <c r="N35" i="9"/>
  <c r="O35" i="9"/>
  <c r="P35" i="9"/>
  <c r="Q35" i="9"/>
  <c r="J31" i="9"/>
  <c r="K31" i="9"/>
  <c r="L31" i="9"/>
  <c r="M31" i="9"/>
  <c r="N31" i="9"/>
  <c r="O31" i="9"/>
  <c r="P31" i="9"/>
  <c r="Q31" i="9"/>
  <c r="H29" i="9"/>
  <c r="J29" i="9"/>
  <c r="K29" i="9"/>
  <c r="L29" i="9"/>
  <c r="M29" i="9"/>
  <c r="N29" i="9"/>
  <c r="O29" i="9"/>
  <c r="P29" i="9"/>
  <c r="Q29" i="9"/>
  <c r="Y30" i="9"/>
  <c r="Z30" i="9" s="1"/>
  <c r="AA30" i="9" s="1"/>
  <c r="I30" i="9"/>
  <c r="I29" i="9" s="1"/>
  <c r="H66" i="9"/>
  <c r="H64" i="9" s="1"/>
  <c r="I57" i="9"/>
  <c r="G57" i="9" s="1"/>
  <c r="P15" i="9"/>
  <c r="L15" i="9"/>
  <c r="Z16" i="9"/>
  <c r="AA16" i="9" s="1"/>
  <c r="Y72" i="9"/>
  <c r="Z72" i="9" s="1"/>
  <c r="AA72" i="9" s="1"/>
  <c r="Y68" i="9"/>
  <c r="Y66" i="9"/>
  <c r="Z66" i="9" s="1"/>
  <c r="AA66" i="9" s="1"/>
  <c r="Y63" i="9"/>
  <c r="Z63" i="9" s="1"/>
  <c r="AA63" i="9" s="1"/>
  <c r="Y62" i="9"/>
  <c r="Z62" i="9" s="1"/>
  <c r="AA62" i="9" s="1"/>
  <c r="Y59" i="9"/>
  <c r="Z59" i="9" s="1"/>
  <c r="AA59" i="9" s="1"/>
  <c r="Y57" i="9"/>
  <c r="Z57" i="9" s="1"/>
  <c r="AA57" i="9" s="1"/>
  <c r="Y54" i="9"/>
  <c r="Y43" i="9"/>
  <c r="Y39" i="9"/>
  <c r="Y36" i="9"/>
  <c r="Z36" i="9" s="1"/>
  <c r="AA36" i="9" s="1"/>
  <c r="Y34" i="9"/>
  <c r="Z34" i="9" s="1"/>
  <c r="AA34" i="9" s="1"/>
  <c r="Y32" i="9"/>
  <c r="Z32" i="9" s="1"/>
  <c r="AA32" i="9" s="1"/>
  <c r="Y28" i="9"/>
  <c r="Z28" i="9" s="1"/>
  <c r="AA28" i="9" s="1"/>
  <c r="Y19" i="9"/>
  <c r="Y16" i="9"/>
  <c r="Y15" i="9"/>
  <c r="Z15" i="9" s="1"/>
  <c r="AA15" i="9" s="1"/>
  <c r="Y13" i="9"/>
  <c r="Z13" i="9" s="1"/>
  <c r="AA13" i="9" s="1"/>
  <c r="Y11" i="9"/>
  <c r="Z11" i="9" s="1"/>
  <c r="AA11" i="9" s="1"/>
  <c r="Y8" i="9"/>
  <c r="H42" i="9"/>
  <c r="J42" i="9"/>
  <c r="K42" i="9"/>
  <c r="L42" i="9"/>
  <c r="M42" i="9"/>
  <c r="N42" i="9"/>
  <c r="O42" i="9"/>
  <c r="P42" i="9"/>
  <c r="Q42" i="9"/>
  <c r="I36" i="9"/>
  <c r="G36" i="9" s="1"/>
  <c r="I33" i="9"/>
  <c r="I32" i="9"/>
  <c r="I19" i="9"/>
  <c r="I16" i="9"/>
  <c r="I13" i="9"/>
  <c r="I9" i="9"/>
  <c r="I8" i="9"/>
  <c r="J64" i="9"/>
  <c r="K64" i="9"/>
  <c r="L64" i="9"/>
  <c r="M64" i="9"/>
  <c r="N64" i="9"/>
  <c r="O64" i="9"/>
  <c r="P64" i="9"/>
  <c r="Q64" i="9"/>
  <c r="I68" i="9"/>
  <c r="G68" i="9" s="1"/>
  <c r="I43" i="9"/>
  <c r="G43" i="9" s="1"/>
  <c r="G42" i="9" s="1"/>
  <c r="H55" i="9"/>
  <c r="W97" i="9"/>
  <c r="H82" i="9"/>
  <c r="J58" i="9"/>
  <c r="K58" i="9"/>
  <c r="L58" i="9"/>
  <c r="M58" i="9"/>
  <c r="N58" i="9"/>
  <c r="O58" i="9"/>
  <c r="P58" i="9"/>
  <c r="Q58" i="9"/>
  <c r="I63" i="9"/>
  <c r="G63" i="9" s="1"/>
  <c r="H34" i="9"/>
  <c r="I34" i="9" s="1"/>
  <c r="I31" i="9" s="1"/>
  <c r="H61" i="9"/>
  <c r="H58" i="9" s="1"/>
  <c r="H24" i="9"/>
  <c r="Q12" i="9"/>
  <c r="H12" i="9"/>
  <c r="I12" i="9" s="1"/>
  <c r="H31" i="9" l="1"/>
  <c r="G30" i="9"/>
  <c r="G29" i="9" s="1"/>
  <c r="I35" i="9"/>
  <c r="I66" i="9"/>
  <c r="G66" i="9" s="1"/>
  <c r="Z54" i="9"/>
  <c r="AA54" i="9" s="1"/>
  <c r="Y90" i="9"/>
  <c r="Z19" i="9"/>
  <c r="AA19" i="9" s="1"/>
  <c r="Z68" i="9"/>
  <c r="AA68" i="9" s="1"/>
  <c r="Z8" i="9"/>
  <c r="Z90" i="9" s="1"/>
  <c r="I42" i="9"/>
  <c r="AA8" i="9" l="1"/>
  <c r="AA90" i="9" s="1"/>
  <c r="L8" i="9"/>
  <c r="P85" i="9"/>
  <c r="P84" i="9" s="1"/>
  <c r="P81" i="9"/>
  <c r="P79" i="9"/>
  <c r="P76" i="9"/>
  <c r="P73" i="9"/>
  <c r="P71" i="9"/>
  <c r="P69" i="9"/>
  <c r="P56" i="9"/>
  <c r="P51" i="9"/>
  <c r="P44" i="9"/>
  <c r="P37" i="9"/>
  <c r="P27" i="9"/>
  <c r="P26" i="9" s="1"/>
  <c r="P23" i="9"/>
  <c r="P21" i="9"/>
  <c r="P18" i="9"/>
  <c r="P17" i="9" s="1"/>
  <c r="P14" i="9"/>
  <c r="P10" i="9"/>
  <c r="P7" i="9"/>
  <c r="Q85" i="9"/>
  <c r="Q84" i="9" s="1"/>
  <c r="Q81" i="9"/>
  <c r="Q79" i="9"/>
  <c r="Q76" i="9"/>
  <c r="Q73" i="9"/>
  <c r="Q71" i="9"/>
  <c r="Q69" i="9"/>
  <c r="Q56" i="9"/>
  <c r="Q53" i="9"/>
  <c r="Q51" i="9"/>
  <c r="Q44" i="9"/>
  <c r="Q37" i="9"/>
  <c r="Q27" i="9"/>
  <c r="Q26" i="9" s="1"/>
  <c r="Q23" i="9"/>
  <c r="Q21" i="9"/>
  <c r="Q18" i="9"/>
  <c r="Q17" i="9" s="1"/>
  <c r="Q14" i="9"/>
  <c r="Q10" i="9"/>
  <c r="Q7" i="9"/>
  <c r="H46" i="9"/>
  <c r="P25" i="9" l="1"/>
  <c r="Q20" i="9"/>
  <c r="P75" i="9"/>
  <c r="Q41" i="9"/>
  <c r="P6" i="9"/>
  <c r="P20" i="9"/>
  <c r="Q6" i="9"/>
  <c r="Q75" i="9"/>
  <c r="Q40" i="9" l="1"/>
  <c r="Q25" i="9"/>
  <c r="I77" i="9"/>
  <c r="G77" i="9" s="1"/>
  <c r="Q4" i="9" l="1"/>
  <c r="H83" i="9"/>
  <c r="N83" i="9" s="1"/>
  <c r="I62" i="9"/>
  <c r="G62" i="9" s="1"/>
  <c r="S60" i="9"/>
  <c r="I60" i="9"/>
  <c r="G60" i="9" s="1"/>
  <c r="I61" i="9"/>
  <c r="G61" i="9" s="1"/>
  <c r="H10" i="9"/>
  <c r="J10" i="9"/>
  <c r="K10" i="9"/>
  <c r="L10" i="9"/>
  <c r="M10" i="9"/>
  <c r="N10" i="9"/>
  <c r="O10" i="9"/>
  <c r="G13" i="9"/>
  <c r="H23" i="9"/>
  <c r="I23" i="9"/>
  <c r="J23" i="9"/>
  <c r="K23" i="9"/>
  <c r="L23" i="9"/>
  <c r="M23" i="9"/>
  <c r="N23" i="9"/>
  <c r="O23" i="9"/>
  <c r="G24" i="9"/>
  <c r="G22" i="9"/>
  <c r="O21" i="9"/>
  <c r="N21" i="9"/>
  <c r="M21" i="9"/>
  <c r="L21" i="9"/>
  <c r="K21" i="9"/>
  <c r="J21" i="9"/>
  <c r="H21" i="9"/>
  <c r="H7" i="9"/>
  <c r="J7" i="9"/>
  <c r="K7" i="9"/>
  <c r="L7" i="9"/>
  <c r="M7" i="9"/>
  <c r="N7" i="9"/>
  <c r="S12" i="9"/>
  <c r="G21" i="9" l="1"/>
  <c r="G23" i="9"/>
  <c r="M20" i="9"/>
  <c r="K20" i="9"/>
  <c r="H20" i="9"/>
  <c r="O20" i="9"/>
  <c r="L20" i="9"/>
  <c r="N20" i="9"/>
  <c r="J20" i="9"/>
  <c r="I21" i="9"/>
  <c r="I20" i="9" s="1"/>
  <c r="G20" i="9" l="1"/>
  <c r="I46" i="9"/>
  <c r="G46" i="9" s="1"/>
  <c r="I47" i="9"/>
  <c r="G47" i="9" s="1"/>
  <c r="I48" i="9"/>
  <c r="G48" i="9" s="1"/>
  <c r="I50" i="9"/>
  <c r="G50" i="9" s="1"/>
  <c r="I45" i="9"/>
  <c r="G45" i="9" s="1"/>
  <c r="O46" i="9" l="1"/>
  <c r="I49" i="9"/>
  <c r="G49" i="9" s="1"/>
  <c r="I74" i="9" l="1"/>
  <c r="I72" i="9"/>
  <c r="I70" i="9"/>
  <c r="I67" i="9"/>
  <c r="I65" i="9"/>
  <c r="I59" i="9"/>
  <c r="I58" i="9" s="1"/>
  <c r="I55" i="9"/>
  <c r="I54" i="9"/>
  <c r="I64" i="9" l="1"/>
  <c r="I80" i="9"/>
  <c r="G80" i="9" s="1"/>
  <c r="O85" i="9" l="1"/>
  <c r="O84" i="9" s="1"/>
  <c r="N85" i="9"/>
  <c r="N84" i="9" s="1"/>
  <c r="M85" i="9"/>
  <c r="M84" i="9" s="1"/>
  <c r="L85" i="9"/>
  <c r="L84" i="9" s="1"/>
  <c r="K85" i="9"/>
  <c r="K84" i="9" s="1"/>
  <c r="J85" i="9"/>
  <c r="J84" i="9" s="1"/>
  <c r="J83" i="9" s="1"/>
  <c r="I85" i="9"/>
  <c r="I84" i="9" s="1"/>
  <c r="I83" i="9" s="1"/>
  <c r="H85" i="9"/>
  <c r="H84" i="9" s="1"/>
  <c r="G85" i="9"/>
  <c r="G84" i="9" s="1"/>
  <c r="I82" i="9"/>
  <c r="I81" i="9" s="1"/>
  <c r="N81" i="9"/>
  <c r="M81" i="9"/>
  <c r="L81" i="9"/>
  <c r="K81" i="9"/>
  <c r="J81" i="9"/>
  <c r="H81" i="9"/>
  <c r="G79" i="9"/>
  <c r="O79" i="9"/>
  <c r="N79" i="9"/>
  <c r="M79" i="9"/>
  <c r="L79" i="9"/>
  <c r="K79" i="9"/>
  <c r="J79" i="9"/>
  <c r="H79" i="9"/>
  <c r="I78" i="9"/>
  <c r="G78" i="9" s="1"/>
  <c r="O76" i="9"/>
  <c r="N76" i="9"/>
  <c r="M76" i="9"/>
  <c r="L76" i="9"/>
  <c r="K76" i="9"/>
  <c r="J76" i="9"/>
  <c r="H76" i="9"/>
  <c r="I73" i="9"/>
  <c r="O73" i="9"/>
  <c r="N73" i="9"/>
  <c r="M73" i="9"/>
  <c r="L73" i="9"/>
  <c r="K73" i="9"/>
  <c r="J73" i="9"/>
  <c r="H73" i="9"/>
  <c r="G72" i="9"/>
  <c r="O71" i="9"/>
  <c r="N71" i="9"/>
  <c r="M71" i="9"/>
  <c r="L71" i="9"/>
  <c r="K71" i="9"/>
  <c r="J71" i="9"/>
  <c r="H71" i="9"/>
  <c r="I69" i="9"/>
  <c r="O69" i="9"/>
  <c r="N69" i="9"/>
  <c r="M69" i="9"/>
  <c r="L69" i="9"/>
  <c r="K69" i="9"/>
  <c r="J69" i="9"/>
  <c r="H69" i="9"/>
  <c r="G67" i="9"/>
  <c r="G65" i="9"/>
  <c r="G59" i="9"/>
  <c r="G58" i="9" s="1"/>
  <c r="O56" i="9"/>
  <c r="N56" i="9"/>
  <c r="M56" i="9"/>
  <c r="L56" i="9"/>
  <c r="K56" i="9"/>
  <c r="J56" i="9"/>
  <c r="H56" i="9"/>
  <c r="M53" i="9"/>
  <c r="G55" i="9"/>
  <c r="G54" i="9"/>
  <c r="O53" i="9"/>
  <c r="N53" i="9"/>
  <c r="L53" i="9"/>
  <c r="K53" i="9"/>
  <c r="J53" i="9"/>
  <c r="H53" i="9"/>
  <c r="O51" i="9"/>
  <c r="N51" i="9"/>
  <c r="M51" i="9"/>
  <c r="L51" i="9"/>
  <c r="K51" i="9"/>
  <c r="J51" i="9"/>
  <c r="O44" i="9"/>
  <c r="N44" i="9"/>
  <c r="M44" i="9"/>
  <c r="L44" i="9"/>
  <c r="K44" i="9"/>
  <c r="J44" i="9"/>
  <c r="H44" i="9"/>
  <c r="I39" i="9"/>
  <c r="O37" i="9"/>
  <c r="N37" i="9"/>
  <c r="M37" i="9"/>
  <c r="L37" i="9"/>
  <c r="K37" i="9"/>
  <c r="J37" i="9"/>
  <c r="H37" i="9"/>
  <c r="G34" i="9"/>
  <c r="G33" i="9"/>
  <c r="G32" i="9"/>
  <c r="I27" i="9"/>
  <c r="I26" i="9" s="1"/>
  <c r="O27" i="9"/>
  <c r="O26" i="9" s="1"/>
  <c r="N27" i="9"/>
  <c r="N26" i="9" s="1"/>
  <c r="M27" i="9"/>
  <c r="M26" i="9" s="1"/>
  <c r="L27" i="9"/>
  <c r="L26" i="9" s="1"/>
  <c r="K27" i="9"/>
  <c r="K26" i="9" s="1"/>
  <c r="J27" i="9"/>
  <c r="J26" i="9" s="1"/>
  <c r="H27" i="9"/>
  <c r="H26" i="9" s="1"/>
  <c r="I18" i="9"/>
  <c r="I17" i="9" s="1"/>
  <c r="O18" i="9"/>
  <c r="O17" i="9" s="1"/>
  <c r="N18" i="9"/>
  <c r="N17" i="9" s="1"/>
  <c r="M18" i="9"/>
  <c r="M17" i="9" s="1"/>
  <c r="L18" i="9"/>
  <c r="L17" i="9" s="1"/>
  <c r="K18" i="9"/>
  <c r="K17" i="9" s="1"/>
  <c r="J18" i="9"/>
  <c r="J17" i="9" s="1"/>
  <c r="H18" i="9"/>
  <c r="H17" i="9" s="1"/>
  <c r="G16" i="9"/>
  <c r="O14" i="9"/>
  <c r="N14" i="9"/>
  <c r="M14" i="9"/>
  <c r="L14" i="9"/>
  <c r="K14" i="9"/>
  <c r="J14" i="9"/>
  <c r="H14" i="9"/>
  <c r="I11" i="9"/>
  <c r="G9" i="9"/>
  <c r="N25" i="9" l="1"/>
  <c r="O25" i="9"/>
  <c r="L25" i="9"/>
  <c r="G64" i="9"/>
  <c r="J41" i="9"/>
  <c r="N41" i="9"/>
  <c r="G39" i="9"/>
  <c r="M41" i="9"/>
  <c r="K41" i="9"/>
  <c r="L41" i="9"/>
  <c r="O41" i="9"/>
  <c r="G35" i="9"/>
  <c r="O9" i="9"/>
  <c r="O7" i="9" s="1"/>
  <c r="O6" i="9" s="1"/>
  <c r="G71" i="9"/>
  <c r="G56" i="9"/>
  <c r="G11" i="9"/>
  <c r="I10" i="9"/>
  <c r="G8" i="9"/>
  <c r="I7" i="9"/>
  <c r="H75" i="9"/>
  <c r="N75" i="9"/>
  <c r="K75" i="9"/>
  <c r="G14" i="9"/>
  <c r="L6" i="9"/>
  <c r="K6" i="9"/>
  <c r="G27" i="9"/>
  <c r="M25" i="9"/>
  <c r="M6" i="9"/>
  <c r="I37" i="9"/>
  <c r="N6" i="9"/>
  <c r="G82" i="9"/>
  <c r="M75" i="9"/>
  <c r="H6" i="9"/>
  <c r="J6" i="9"/>
  <c r="G70" i="9"/>
  <c r="I79" i="9"/>
  <c r="G19" i="9"/>
  <c r="G53" i="9"/>
  <c r="I56" i="9"/>
  <c r="G74" i="9"/>
  <c r="G12" i="9"/>
  <c r="I76" i="9"/>
  <c r="L75" i="9"/>
  <c r="K25" i="9"/>
  <c r="J25" i="9"/>
  <c r="H25" i="9"/>
  <c r="J75" i="9"/>
  <c r="G76" i="9"/>
  <c r="G31" i="9"/>
  <c r="G44" i="9"/>
  <c r="I53" i="9"/>
  <c r="I71" i="9"/>
  <c r="I14" i="9"/>
  <c r="I44" i="9"/>
  <c r="G26" i="9" l="1"/>
  <c r="G37" i="9"/>
  <c r="I25" i="9"/>
  <c r="G18" i="9"/>
  <c r="G17" i="9" s="1"/>
  <c r="G69" i="9"/>
  <c r="G73" i="9"/>
  <c r="G7" i="9"/>
  <c r="G81" i="9"/>
  <c r="G75" i="9" s="1"/>
  <c r="O81" i="9"/>
  <c r="O75" i="9" s="1"/>
  <c r="O40" i="9" s="1"/>
  <c r="O4" i="9" s="1"/>
  <c r="G10" i="9"/>
  <c r="N40" i="9"/>
  <c r="N4" i="9" s="1"/>
  <c r="I6" i="9"/>
  <c r="K40" i="9"/>
  <c r="K4" i="9" s="1"/>
  <c r="I75" i="9"/>
  <c r="J40" i="9"/>
  <c r="J4" i="9" s="1"/>
  <c r="M40" i="9"/>
  <c r="M4" i="9" s="1"/>
  <c r="L40" i="9"/>
  <c r="L4" i="9" s="1"/>
  <c r="G25" i="9" l="1"/>
  <c r="G6" i="9"/>
  <c r="G5" i="9" s="1"/>
  <c r="E4" i="6"/>
  <c r="E5" i="6"/>
  <c r="E6" i="6"/>
  <c r="E7" i="6"/>
  <c r="E8" i="6"/>
  <c r="E9" i="6"/>
  <c r="C10" i="6"/>
  <c r="D10" i="6"/>
  <c r="E10" i="6"/>
  <c r="N6" i="1"/>
  <c r="O6" i="1"/>
  <c r="Q6" i="1"/>
  <c r="R6" i="1"/>
  <c r="S6" i="1"/>
  <c r="T6" i="1"/>
  <c r="U6" i="1"/>
  <c r="V6" i="1"/>
  <c r="W6" i="1"/>
  <c r="X6" i="1"/>
  <c r="Y6" i="1"/>
  <c r="Z6" i="1"/>
  <c r="AA6" i="1"/>
  <c r="AB6" i="1"/>
  <c r="L7" i="1"/>
  <c r="O8" i="1"/>
  <c r="Q8" i="1" s="1"/>
  <c r="L9" i="1"/>
  <c r="M9" i="1" s="1"/>
  <c r="Q10" i="1"/>
  <c r="L11" i="1"/>
  <c r="M11" i="1" s="1"/>
  <c r="P12" i="1"/>
  <c r="P13" i="1"/>
  <c r="K13" i="1" s="1"/>
  <c r="L14" i="1"/>
  <c r="M14" i="1"/>
  <c r="L16" i="1"/>
  <c r="M16" i="1" s="1"/>
  <c r="N17" i="1"/>
  <c r="P17" i="1" s="1"/>
  <c r="L18" i="1"/>
  <c r="M18" i="1"/>
  <c r="P18" i="1"/>
  <c r="N19" i="1"/>
  <c r="O19" i="1"/>
  <c r="Q19" i="1"/>
  <c r="R19" i="1"/>
  <c r="S19" i="1"/>
  <c r="T19" i="1"/>
  <c r="U19" i="1"/>
  <c r="V19" i="1"/>
  <c r="W19" i="1"/>
  <c r="X19" i="1"/>
  <c r="Y19" i="1"/>
  <c r="Z19" i="1"/>
  <c r="AA19" i="1"/>
  <c r="AB19" i="1"/>
  <c r="L20" i="1"/>
  <c r="M20" i="1" s="1"/>
  <c r="P20" i="1"/>
  <c r="P21" i="1" s="1"/>
  <c r="L21" i="1"/>
  <c r="M21" i="1"/>
  <c r="L22" i="1"/>
  <c r="M22" i="1" s="1"/>
  <c r="O23" i="1"/>
  <c r="Q23" i="1"/>
  <c r="K24" i="1"/>
  <c r="K19" i="1" s="1"/>
  <c r="O25" i="1"/>
  <c r="P25" i="1" s="1"/>
  <c r="L26" i="1"/>
  <c r="M26" i="1" s="1"/>
  <c r="L27" i="1"/>
  <c r="M27" i="1" s="1"/>
  <c r="O28" i="1"/>
  <c r="P28" i="1"/>
  <c r="L29" i="1"/>
  <c r="M29" i="1" s="1"/>
  <c r="P29" i="1"/>
  <c r="N31" i="1"/>
  <c r="O31" i="1"/>
  <c r="P31" i="1"/>
  <c r="Q31" i="1"/>
  <c r="R31" i="1"/>
  <c r="S31" i="1"/>
  <c r="L32" i="1"/>
  <c r="O33" i="1"/>
  <c r="Q33" i="1" s="1"/>
  <c r="K34" i="1"/>
  <c r="K31" i="1" s="1"/>
  <c r="L34" i="1"/>
  <c r="K36" i="1"/>
  <c r="N36" i="1"/>
  <c r="O36" i="1"/>
  <c r="P36" i="1"/>
  <c r="Q36" i="1"/>
  <c r="L37" i="1"/>
  <c r="L36" i="1"/>
  <c r="O38" i="1"/>
  <c r="Q38" i="1" s="1"/>
  <c r="K39" i="1"/>
  <c r="N39" i="1"/>
  <c r="O39" i="1"/>
  <c r="P39" i="1"/>
  <c r="L40" i="1"/>
  <c r="N41" i="1"/>
  <c r="O41" i="1"/>
  <c r="K42" i="1"/>
  <c r="N42" i="1"/>
  <c r="O42" i="1"/>
  <c r="P42" i="1"/>
  <c r="Q42" i="1"/>
  <c r="R42" i="1"/>
  <c r="S42" i="1"/>
  <c r="L43" i="1"/>
  <c r="M43" i="1" s="1"/>
  <c r="Q44" i="1"/>
  <c r="L45" i="1"/>
  <c r="M45" i="1" s="1"/>
  <c r="O46" i="1"/>
  <c r="Q46" i="1"/>
  <c r="L47" i="1"/>
  <c r="N49" i="1"/>
  <c r="O49" i="1"/>
  <c r="P49" i="1"/>
  <c r="Q49" i="1"/>
  <c r="R49" i="1"/>
  <c r="S49" i="1"/>
  <c r="AE49" i="1"/>
  <c r="K50" i="1"/>
  <c r="L50" i="1" s="1"/>
  <c r="AE50" i="1"/>
  <c r="O51" i="1"/>
  <c r="K51" i="1" s="1"/>
  <c r="L51" i="1" s="1"/>
  <c r="K52" i="1"/>
  <c r="L52" i="1" s="1"/>
  <c r="M52" i="1" s="1"/>
  <c r="O53" i="1"/>
  <c r="K53" i="1" s="1"/>
  <c r="L53" i="1" s="1"/>
  <c r="M53" i="1" s="1"/>
  <c r="K54" i="1"/>
  <c r="L54" i="1" s="1"/>
  <c r="K55" i="1"/>
  <c r="L55" i="1" s="1"/>
  <c r="M55" i="1" s="1"/>
  <c r="K56" i="1"/>
  <c r="N56" i="1"/>
  <c r="O56" i="1"/>
  <c r="P56" i="1"/>
  <c r="Q56" i="1"/>
  <c r="R56" i="1"/>
  <c r="S56" i="1"/>
  <c r="L57" i="1"/>
  <c r="M57" i="1" s="1"/>
  <c r="M56" i="1" s="1"/>
  <c r="K59" i="1"/>
  <c r="N59" i="1"/>
  <c r="O59" i="1"/>
  <c r="P59" i="1"/>
  <c r="Q59" i="1"/>
  <c r="R59" i="1"/>
  <c r="S59" i="1"/>
  <c r="S48" i="1" s="1"/>
  <c r="L60" i="1"/>
  <c r="L59" i="1" s="1"/>
  <c r="P61" i="1"/>
  <c r="K62" i="1"/>
  <c r="N62" i="1"/>
  <c r="O62" i="1"/>
  <c r="P62" i="1"/>
  <c r="Q62" i="1"/>
  <c r="R62" i="1"/>
  <c r="S62" i="1"/>
  <c r="L63" i="1"/>
  <c r="O64" i="1"/>
  <c r="K64" i="1" s="1"/>
  <c r="L64" i="1" s="1"/>
  <c r="L65" i="1"/>
  <c r="M65" i="1" s="1"/>
  <c r="P66" i="1"/>
  <c r="K66" i="1" s="1"/>
  <c r="L67" i="1"/>
  <c r="M67" i="1" s="1"/>
  <c r="N69" i="1"/>
  <c r="Q69" i="1"/>
  <c r="R69" i="1"/>
  <c r="S69" i="1"/>
  <c r="O70" i="1"/>
  <c r="P70" i="1"/>
  <c r="P69" i="1"/>
  <c r="K71" i="1"/>
  <c r="L71" i="1" s="1"/>
  <c r="M71" i="1" s="1"/>
  <c r="L73" i="1"/>
  <c r="M73" i="1"/>
  <c r="N74" i="1"/>
  <c r="O74" i="1"/>
  <c r="K75" i="1"/>
  <c r="N77" i="1"/>
  <c r="O77" i="1"/>
  <c r="P77" i="1"/>
  <c r="Q77" i="1"/>
  <c r="R77" i="1"/>
  <c r="S77" i="1"/>
  <c r="K78" i="1"/>
  <c r="L78" i="1" s="1"/>
  <c r="O79" i="1"/>
  <c r="K79" i="1" s="1"/>
  <c r="K80" i="1"/>
  <c r="L80" i="1" s="1"/>
  <c r="M80" i="1" s="1"/>
  <c r="N81" i="1"/>
  <c r="O81" i="1"/>
  <c r="K82" i="1"/>
  <c r="O83" i="1"/>
  <c r="K83" i="1" s="1"/>
  <c r="L83" i="1" s="1"/>
  <c r="K84" i="1"/>
  <c r="O85" i="1"/>
  <c r="P85" i="1" s="1"/>
  <c r="K86" i="1"/>
  <c r="L86" i="1" s="1"/>
  <c r="O87" i="1"/>
  <c r="P87" i="1" s="1"/>
  <c r="K88" i="1"/>
  <c r="L88" i="1" s="1"/>
  <c r="M88" i="1" s="1"/>
  <c r="K89" i="1"/>
  <c r="N90" i="1"/>
  <c r="O90" i="1"/>
  <c r="P90" i="1"/>
  <c r="Q90" i="1"/>
  <c r="R90" i="1"/>
  <c r="S90" i="1"/>
  <c r="K91" i="1"/>
  <c r="L91" i="1" s="1"/>
  <c r="O92" i="1"/>
  <c r="Q92" i="1"/>
  <c r="K93" i="1"/>
  <c r="M93" i="1" s="1"/>
  <c r="L93" i="1"/>
  <c r="N94" i="1"/>
  <c r="K94" i="1" s="1"/>
  <c r="K95" i="1"/>
  <c r="L95" i="1" s="1"/>
  <c r="O96" i="1"/>
  <c r="Q96" i="1" s="1"/>
  <c r="O97" i="1"/>
  <c r="P97" i="1"/>
  <c r="Q97" i="1"/>
  <c r="R97" i="1"/>
  <c r="S97" i="1"/>
  <c r="K98" i="1"/>
  <c r="O99" i="1"/>
  <c r="K99" i="1" s="1"/>
  <c r="L99" i="1" s="1"/>
  <c r="N100" i="1"/>
  <c r="O100" i="1"/>
  <c r="P100" i="1"/>
  <c r="Q100" i="1"/>
  <c r="R100" i="1"/>
  <c r="S100" i="1"/>
  <c r="K101" i="1"/>
  <c r="L101" i="1"/>
  <c r="O102" i="1"/>
  <c r="P102" i="1" s="1"/>
  <c r="K103" i="1"/>
  <c r="L103" i="1" s="1"/>
  <c r="M103" i="1" s="1"/>
  <c r="N104" i="1"/>
  <c r="O104" i="1"/>
  <c r="K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L106" i="1"/>
  <c r="M106" i="1"/>
  <c r="M105" i="1" s="1"/>
  <c r="L105" i="1"/>
  <c r="O107" i="1"/>
  <c r="K107" i="1" s="1"/>
  <c r="L107" i="1" s="1"/>
  <c r="K110" i="1"/>
  <c r="K109" i="1" s="1"/>
  <c r="AE108" i="1" s="1"/>
  <c r="N110" i="1"/>
  <c r="O110" i="1"/>
  <c r="P110" i="1"/>
  <c r="Q110" i="1"/>
  <c r="R110" i="1"/>
  <c r="S110" i="1"/>
  <c r="S109" i="1"/>
  <c r="T110" i="1"/>
  <c r="U110" i="1"/>
  <c r="V110" i="1"/>
  <c r="W110" i="1"/>
  <c r="X110" i="1"/>
  <c r="Y110" i="1"/>
  <c r="Z110" i="1"/>
  <c r="AA110" i="1"/>
  <c r="AB110" i="1"/>
  <c r="AC110" i="1"/>
  <c r="L111" i="1"/>
  <c r="M111" i="1" s="1"/>
  <c r="M110" i="1" s="1"/>
  <c r="L110" i="1"/>
  <c r="K112" i="1"/>
  <c r="N112" i="1"/>
  <c r="O112" i="1"/>
  <c r="P112" i="1"/>
  <c r="P109" i="1" s="1"/>
  <c r="Q112" i="1"/>
  <c r="R112" i="1"/>
  <c r="S112" i="1"/>
  <c r="L113" i="1"/>
  <c r="L112" i="1" s="1"/>
  <c r="O114" i="1"/>
  <c r="Q114" i="1" s="1"/>
  <c r="AE115" i="1"/>
  <c r="AF115" i="1"/>
  <c r="K4" i="3"/>
  <c r="K2" i="3" s="1"/>
  <c r="M8" i="3"/>
  <c r="N8" i="3"/>
  <c r="O8" i="3"/>
  <c r="P8" i="3"/>
  <c r="Q8" i="3"/>
  <c r="R8" i="3"/>
  <c r="U8" i="3"/>
  <c r="J9" i="3"/>
  <c r="J8" i="3"/>
  <c r="K9" i="3"/>
  <c r="U9" i="3"/>
  <c r="K11" i="3"/>
  <c r="L11" i="3" s="1"/>
  <c r="K13" i="3"/>
  <c r="L13" i="3"/>
  <c r="K15" i="3"/>
  <c r="L15" i="3" s="1"/>
  <c r="K17" i="3"/>
  <c r="L17" i="3"/>
  <c r="K19" i="3"/>
  <c r="L19" i="3"/>
  <c r="K21" i="3"/>
  <c r="L21" i="3" s="1"/>
  <c r="K23" i="3"/>
  <c r="L23" i="3"/>
  <c r="J25" i="3"/>
  <c r="M25" i="3"/>
  <c r="N25" i="3"/>
  <c r="O25" i="3"/>
  <c r="P25" i="3"/>
  <c r="Q25" i="3"/>
  <c r="R25" i="3"/>
  <c r="K26" i="3"/>
  <c r="K25" i="3" s="1"/>
  <c r="J29" i="3"/>
  <c r="M29" i="3"/>
  <c r="N29" i="3"/>
  <c r="O29" i="3"/>
  <c r="P29" i="3"/>
  <c r="Q29" i="3"/>
  <c r="R29" i="3"/>
  <c r="K30" i="3"/>
  <c r="L30" i="3" s="1"/>
  <c r="K32" i="3"/>
  <c r="L32" i="3"/>
  <c r="J35" i="3"/>
  <c r="M35" i="3"/>
  <c r="N35" i="3"/>
  <c r="O35" i="3"/>
  <c r="P35" i="3"/>
  <c r="Q35" i="3"/>
  <c r="R35" i="3"/>
  <c r="K36" i="3"/>
  <c r="K35" i="3" s="1"/>
  <c r="K38" i="3"/>
  <c r="L38" i="3" s="1"/>
  <c r="J40" i="3"/>
  <c r="M40" i="3"/>
  <c r="N40" i="3"/>
  <c r="O40" i="3"/>
  <c r="P40" i="3"/>
  <c r="Q40" i="3"/>
  <c r="R40" i="3"/>
  <c r="K41" i="3"/>
  <c r="J43" i="3"/>
  <c r="M43" i="3"/>
  <c r="N43" i="3"/>
  <c r="O43" i="3"/>
  <c r="P43" i="3"/>
  <c r="Q43" i="3"/>
  <c r="R43" i="3"/>
  <c r="K44" i="3"/>
  <c r="L44" i="3" s="1"/>
  <c r="L43" i="3" s="1"/>
  <c r="K43" i="3"/>
  <c r="L46" i="3"/>
  <c r="J46" i="3" s="1"/>
  <c r="J4" i="3" s="1"/>
  <c r="J57" i="3"/>
  <c r="J55" i="3" s="1"/>
  <c r="J2" i="3" s="1"/>
  <c r="J59" i="3"/>
  <c r="J58" i="3"/>
  <c r="M59" i="3"/>
  <c r="M58" i="3" s="1"/>
  <c r="N59" i="3"/>
  <c r="N58" i="3" s="1"/>
  <c r="O59" i="3"/>
  <c r="O58" i="3"/>
  <c r="P59" i="3"/>
  <c r="P58" i="3" s="1"/>
  <c r="Q59" i="3"/>
  <c r="Q58" i="3"/>
  <c r="R59" i="3"/>
  <c r="R58" i="3" s="1"/>
  <c r="K60" i="3"/>
  <c r="K59" i="3" s="1"/>
  <c r="K58" i="3" s="1"/>
  <c r="L60" i="3"/>
  <c r="L59" i="3"/>
  <c r="L58" i="3"/>
  <c r="K62" i="3"/>
  <c r="L62" i="3" s="1"/>
  <c r="J62" i="3" s="1"/>
  <c r="K55" i="3"/>
  <c r="J64" i="3"/>
  <c r="M64" i="3"/>
  <c r="N64" i="3"/>
  <c r="O64" i="3"/>
  <c r="P64" i="3"/>
  <c r="Q64" i="3"/>
  <c r="R64" i="3"/>
  <c r="K65" i="3"/>
  <c r="L65" i="3"/>
  <c r="L64" i="3" s="1"/>
  <c r="K67" i="3"/>
  <c r="L67" i="3"/>
  <c r="J69" i="3"/>
  <c r="M69" i="3"/>
  <c r="N69" i="3"/>
  <c r="O69" i="3"/>
  <c r="P69" i="3"/>
  <c r="Q69" i="3"/>
  <c r="R69" i="3"/>
  <c r="K70" i="3"/>
  <c r="K69" i="3" s="1"/>
  <c r="J71" i="3"/>
  <c r="M71" i="3"/>
  <c r="N71" i="3"/>
  <c r="O71" i="3"/>
  <c r="O63" i="3" s="1"/>
  <c r="P71" i="3"/>
  <c r="Q71" i="3"/>
  <c r="R71" i="3"/>
  <c r="K72" i="3"/>
  <c r="K74" i="3"/>
  <c r="K76" i="3"/>
  <c r="L76" i="3"/>
  <c r="K78" i="3"/>
  <c r="L78" i="3" s="1"/>
  <c r="J82" i="3"/>
  <c r="M82" i="3"/>
  <c r="N82" i="3"/>
  <c r="O82" i="3"/>
  <c r="P82" i="3"/>
  <c r="Q82" i="3"/>
  <c r="R82" i="3"/>
  <c r="K83" i="3"/>
  <c r="K82" i="3" s="1"/>
  <c r="J86" i="3"/>
  <c r="J90" i="3"/>
  <c r="K90" i="3"/>
  <c r="L90" i="3"/>
  <c r="M90" i="3"/>
  <c r="N90" i="3"/>
  <c r="O90" i="3"/>
  <c r="P90" i="3"/>
  <c r="Q90" i="3"/>
  <c r="R90" i="3"/>
  <c r="Q94" i="3"/>
  <c r="R94" i="3"/>
  <c r="K95" i="3"/>
  <c r="L95" i="3" s="1"/>
  <c r="J97" i="3"/>
  <c r="J94" i="3" s="1"/>
  <c r="K97" i="3"/>
  <c r="L97" i="3" s="1"/>
  <c r="M97" i="3"/>
  <c r="M94" i="3" s="1"/>
  <c r="M89" i="3" s="1"/>
  <c r="N97" i="3"/>
  <c r="N94" i="3"/>
  <c r="O97" i="3"/>
  <c r="O94" i="3"/>
  <c r="P97" i="3"/>
  <c r="P94" i="3"/>
  <c r="J99" i="3"/>
  <c r="M99" i="3"/>
  <c r="N99" i="3"/>
  <c r="O99" i="3"/>
  <c r="P99" i="3"/>
  <c r="Q99" i="3"/>
  <c r="R99" i="3"/>
  <c r="K100" i="3"/>
  <c r="K99" i="3"/>
  <c r="L100" i="3"/>
  <c r="L99" i="3" s="1"/>
  <c r="L89" i="1"/>
  <c r="M89" i="1"/>
  <c r="M63" i="1"/>
  <c r="K97" i="1"/>
  <c r="L98" i="1"/>
  <c r="M98" i="1" s="1"/>
  <c r="M97" i="1" s="1"/>
  <c r="L97" i="1"/>
  <c r="M64" i="1"/>
  <c r="M37" i="1"/>
  <c r="M36" i="1"/>
  <c r="R76" i="1"/>
  <c r="L62" i="1"/>
  <c r="L56" i="1"/>
  <c r="L72" i="3"/>
  <c r="Q109" i="1"/>
  <c r="L4" i="3" l="1"/>
  <c r="K29" i="3"/>
  <c r="Q76" i="1"/>
  <c r="L26" i="3"/>
  <c r="L25" i="3" s="1"/>
  <c r="K64" i="3"/>
  <c r="Q63" i="3"/>
  <c r="R63" i="3"/>
  <c r="Q5" i="1"/>
  <c r="L109" i="1"/>
  <c r="AF108" i="1" s="1"/>
  <c r="L83" i="3"/>
  <c r="L82" i="3" s="1"/>
  <c r="M63" i="3"/>
  <c r="M56" i="3" s="1"/>
  <c r="M3" i="3" s="1"/>
  <c r="M34" i="1"/>
  <c r="L70" i="3"/>
  <c r="L69" i="3" s="1"/>
  <c r="M113" i="1"/>
  <c r="M112" i="1" s="1"/>
  <c r="M109" i="1" s="1"/>
  <c r="K74" i="1"/>
  <c r="L74" i="1" s="1"/>
  <c r="M74" i="1" s="1"/>
  <c r="M42" i="1"/>
  <c r="R48" i="1"/>
  <c r="P89" i="3"/>
  <c r="N48" i="1"/>
  <c r="L36" i="3"/>
  <c r="M51" i="1"/>
  <c r="M101" i="1"/>
  <c r="M100" i="1" s="1"/>
  <c r="J89" i="3"/>
  <c r="M83" i="1"/>
  <c r="M60" i="1"/>
  <c r="M59" i="1" s="1"/>
  <c r="O109" i="1"/>
  <c r="M50" i="1"/>
  <c r="L49" i="1"/>
  <c r="Q3" i="1"/>
  <c r="M84" i="1"/>
  <c r="L35" i="3"/>
  <c r="S5" i="1"/>
  <c r="O7" i="3"/>
  <c r="O5" i="3" s="1"/>
  <c r="O3" i="3" s="1"/>
  <c r="M86" i="1"/>
  <c r="P19" i="1"/>
  <c r="P63" i="3"/>
  <c r="M19" i="1"/>
  <c r="N5" i="1"/>
  <c r="S76" i="1"/>
  <c r="K49" i="1"/>
  <c r="K100" i="1"/>
  <c r="M78" i="1"/>
  <c r="M107" i="1"/>
  <c r="N63" i="3"/>
  <c r="R5" i="1"/>
  <c r="K41" i="1"/>
  <c r="L41" i="1" s="1"/>
  <c r="M41" i="1" s="1"/>
  <c r="O89" i="3"/>
  <c r="O56" i="3" s="1"/>
  <c r="L90" i="1"/>
  <c r="M7" i="3"/>
  <c r="M5" i="3" s="1"/>
  <c r="M62" i="1"/>
  <c r="J7" i="3"/>
  <c r="J5" i="3" s="1"/>
  <c r="S4" i="3" s="1"/>
  <c r="M95" i="1"/>
  <c r="R109" i="1"/>
  <c r="N76" i="1"/>
  <c r="O76" i="1"/>
  <c r="P48" i="1"/>
  <c r="L100" i="1"/>
  <c r="K81" i="1"/>
  <c r="L81" i="1" s="1"/>
  <c r="L42" i="1"/>
  <c r="P7" i="3"/>
  <c r="P5" i="3" s="1"/>
  <c r="L31" i="1"/>
  <c r="L29" i="3"/>
  <c r="Q48" i="1"/>
  <c r="L84" i="1"/>
  <c r="N89" i="3"/>
  <c r="N56" i="3" s="1"/>
  <c r="N109" i="1"/>
  <c r="K94" i="3"/>
  <c r="K89" i="3" s="1"/>
  <c r="K104" i="1"/>
  <c r="L24" i="1"/>
  <c r="M24" i="1" s="1"/>
  <c r="Q7" i="3"/>
  <c r="Q5" i="3" s="1"/>
  <c r="Q3" i="3" s="1"/>
  <c r="R89" i="3"/>
  <c r="R56" i="3" s="1"/>
  <c r="M32" i="1"/>
  <c r="M31" i="1" s="1"/>
  <c r="Q89" i="3"/>
  <c r="Q56" i="3" s="1"/>
  <c r="L94" i="1"/>
  <c r="M94" i="1" s="1"/>
  <c r="N7" i="3"/>
  <c r="N5" i="3" s="1"/>
  <c r="K90" i="1"/>
  <c r="M99" i="1"/>
  <c r="L94" i="3"/>
  <c r="L89" i="3" s="1"/>
  <c r="R7" i="3"/>
  <c r="R5" i="3" s="1"/>
  <c r="P76" i="1"/>
  <c r="L82" i="1"/>
  <c r="K77" i="1"/>
  <c r="L39" i="1"/>
  <c r="M40" i="1"/>
  <c r="M39" i="1" s="1"/>
  <c r="K6" i="1"/>
  <c r="K5" i="1" s="1"/>
  <c r="L13" i="1"/>
  <c r="M13" i="1" s="1"/>
  <c r="L6" i="1"/>
  <c r="M7" i="1"/>
  <c r="M91" i="1"/>
  <c r="L74" i="3"/>
  <c r="L71" i="3" s="1"/>
  <c r="L63" i="3" s="1"/>
  <c r="K71" i="3"/>
  <c r="K63" i="3" s="1"/>
  <c r="K56" i="3" s="1"/>
  <c r="T55" i="3" s="1"/>
  <c r="J63" i="3"/>
  <c r="J56" i="3" s="1"/>
  <c r="S55" i="3" s="1"/>
  <c r="L9" i="3"/>
  <c r="L8" i="3" s="1"/>
  <c r="K8" i="3"/>
  <c r="M54" i="1"/>
  <c r="O5" i="1"/>
  <c r="O69" i="1"/>
  <c r="K70" i="1"/>
  <c r="L66" i="1"/>
  <c r="M66" i="1"/>
  <c r="K40" i="3"/>
  <c r="L41" i="3"/>
  <c r="L40" i="3" s="1"/>
  <c r="L2" i="1"/>
  <c r="K47" i="1"/>
  <c r="L79" i="1"/>
  <c r="M79" i="1" s="1"/>
  <c r="O48" i="1"/>
  <c r="P6" i="1"/>
  <c r="L55" i="3"/>
  <c r="L2" i="3" s="1"/>
  <c r="P30" i="1"/>
  <c r="N3" i="1" l="1"/>
  <c r="P56" i="3"/>
  <c r="P5" i="1"/>
  <c r="P3" i="1" s="1"/>
  <c r="M90" i="1"/>
  <c r="L77" i="1"/>
  <c r="P3" i="3"/>
  <c r="L19" i="1"/>
  <c r="R3" i="1"/>
  <c r="M49" i="1"/>
  <c r="L5" i="1"/>
  <c r="AF5" i="1" s="1"/>
  <c r="J3" i="3"/>
  <c r="S2" i="3" s="1"/>
  <c r="L104" i="1"/>
  <c r="M104" i="1" s="1"/>
  <c r="S3" i="1"/>
  <c r="K76" i="1"/>
  <c r="AE75" i="1" s="1"/>
  <c r="L76" i="1"/>
  <c r="AF75" i="1" s="1"/>
  <c r="M81" i="1"/>
  <c r="R3" i="3"/>
  <c r="K7" i="3"/>
  <c r="K5" i="3" s="1"/>
  <c r="AE5" i="1"/>
  <c r="M82" i="1"/>
  <c r="M77" i="1" s="1"/>
  <c r="M76" i="1" s="1"/>
  <c r="M47" i="1"/>
  <c r="M2" i="1" s="1"/>
  <c r="K2" i="1"/>
  <c r="L7" i="3"/>
  <c r="L5" i="3" s="1"/>
  <c r="L70" i="1"/>
  <c r="L69" i="1" s="1"/>
  <c r="L48" i="1" s="1"/>
  <c r="AF47" i="1" s="1"/>
  <c r="K69" i="1"/>
  <c r="K48" i="1" s="1"/>
  <c r="M70" i="1"/>
  <c r="M69" i="1" s="1"/>
  <c r="L56" i="3"/>
  <c r="O3" i="1"/>
  <c r="M6" i="1"/>
  <c r="M5" i="1" s="1"/>
  <c r="N3" i="3"/>
  <c r="M48" i="1" l="1"/>
  <c r="K3" i="1"/>
  <c r="L3" i="3"/>
  <c r="L3" i="1"/>
  <c r="AF3" i="1" s="1"/>
  <c r="M3" i="1"/>
  <c r="AE47" i="1"/>
  <c r="AE3" i="1"/>
  <c r="T4" i="3"/>
  <c r="K3" i="3"/>
  <c r="T2" i="3" s="1"/>
  <c r="H51" i="9" l="1"/>
  <c r="H41" i="9" s="1"/>
  <c r="I51" i="9"/>
  <c r="I41" i="9" l="1"/>
  <c r="I40" i="9" s="1"/>
  <c r="I4" i="9" s="1"/>
  <c r="H40" i="9"/>
  <c r="H4" i="9" s="1"/>
  <c r="G51" i="9"/>
  <c r="U4" i="9" l="1"/>
  <c r="V10" i="9"/>
  <c r="V13" i="9" s="1"/>
  <c r="G41" i="9"/>
  <c r="G40" i="9" s="1"/>
  <c r="G4" i="9" s="1"/>
  <c r="P53" i="9" l="1"/>
  <c r="P41" i="9" s="1"/>
  <c r="P40" i="9" s="1"/>
  <c r="P4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PEČJAK Tomaž</author>
  </authors>
  <commentList>
    <comment ref="M15" authorId="0" shapeId="0" xr:uid="{AA68BCDD-DF67-4D1E-9883-C47894DC2EB6}">
      <text>
        <r>
          <rPr>
            <b/>
            <sz val="9"/>
            <color indexed="81"/>
            <rFont val="Segoe UI"/>
            <family val="2"/>
            <charset val="238"/>
          </rPr>
          <t>PEČJAK Tomaž:</t>
        </r>
        <r>
          <rPr>
            <sz val="9"/>
            <color indexed="81"/>
            <rFont val="Segoe UI"/>
            <family val="2"/>
            <charset val="238"/>
          </rPr>
          <t xml:space="preserve">
2025: teče odprt postopek javnega naročila za dva genetska analizatorja (vrednost predloga za nabavo 453.000,00 evrov - od tega 346.000,00 evrov iz EU - </t>
        </r>
        <r>
          <rPr>
            <b/>
            <sz val="9"/>
            <color indexed="81"/>
            <rFont val="Segoe UI"/>
            <family val="2"/>
            <charset val="238"/>
          </rPr>
          <t>še v fazi analize</t>
        </r>
        <r>
          <rPr>
            <sz val="9"/>
            <color indexed="81"/>
            <rFont val="Segoe UI"/>
            <family val="2"/>
            <charset val="238"/>
          </rPr>
          <t>; plačilo se lahko zamakne tudi v začetek leta 2026 (zadeva še ni jasna) - tabela je izpolnjena, kot da bi se sredstva črpala v letu 2025</t>
        </r>
      </text>
    </comment>
  </commentList>
</comments>
</file>

<file path=xl/sharedStrings.xml><?xml version="1.0" encoding="utf-8"?>
<sst xmlns="http://schemas.openxmlformats.org/spreadsheetml/2006/main" count="2163" uniqueCount="1010">
  <si>
    <t>A.SO1</t>
  </si>
  <si>
    <t>Azil</t>
  </si>
  <si>
    <t>Posebni cilj</t>
  </si>
  <si>
    <t>A.SO1.1</t>
  </si>
  <si>
    <t>Sprejem/azil</t>
  </si>
  <si>
    <t>Nacionalni cilj</t>
  </si>
  <si>
    <t>A.SO1.1.1</t>
  </si>
  <si>
    <t>Pomoč in podpora prosilcem za mednarodno zaščito</t>
  </si>
  <si>
    <t>Ukrep</t>
  </si>
  <si>
    <t>A.SO1.1.1-01</t>
  </si>
  <si>
    <t>Informiranje in pravno svetovanje tujcem na področju mednarodne zaščite</t>
  </si>
  <si>
    <t>Projekt</t>
  </si>
  <si>
    <t>Robert Vaupotič</t>
  </si>
  <si>
    <t>Javni razpis</t>
  </si>
  <si>
    <t>A.SO1.1.1-01A</t>
  </si>
  <si>
    <t>Ciklični projekt</t>
  </si>
  <si>
    <t>A.SO1.1.1-02</t>
  </si>
  <si>
    <t>Brezplačna pravna pomoč pred Upravnim sodiščem RS in Vrhovnim sodiščem RS</t>
  </si>
  <si>
    <t>Neposredna dodelitev</t>
  </si>
  <si>
    <t>A.SO1.1.1-02A</t>
  </si>
  <si>
    <t>Brezplačna pravna pomoč pred Upravnim sodiščem RS, Vrhovnim sodiščem RS in Ustavnim sodiščem</t>
  </si>
  <si>
    <t>A.SO1.1.1-03</t>
  </si>
  <si>
    <t xml:space="preserve">Prevajanje in tolmačenje </t>
  </si>
  <si>
    <t>Luka Vodopivec</t>
  </si>
  <si>
    <t>A.SO1.1.1-03A</t>
  </si>
  <si>
    <t>Prevajanje in tolmačenje</t>
  </si>
  <si>
    <t>A.SO1.1.1-04</t>
  </si>
  <si>
    <t>Predaje po dublinski uredbi</t>
  </si>
  <si>
    <t>Branko Hostnik</t>
  </si>
  <si>
    <t>A.SO1.1.1-04A</t>
  </si>
  <si>
    <t>A.SO1.1.1-05</t>
  </si>
  <si>
    <t>Pomoč pri nastanitvi in oskrbi prosilcev ob sprejemu</t>
  </si>
  <si>
    <t>A.SO1.1.1-05A</t>
  </si>
  <si>
    <t>Pomoč pri nastanitvi in oskrbi prosilcev ob sprejemu - Ko svet postane dom</t>
  </si>
  <si>
    <t>A.SO1.1.1-06</t>
  </si>
  <si>
    <t>Zdravstveni pregledi prosilcev ob sprejemu</t>
  </si>
  <si>
    <t>Simona Gerjevič</t>
  </si>
  <si>
    <t>A.SO1.1.1-06A</t>
  </si>
  <si>
    <t xml:space="preserve">Sanitarno - dezinfekcijski pregled in preventivno zdravstveni pregled prosilcev za mednarodno zaščito pred oddajo vloge </t>
  </si>
  <si>
    <t>A.SO1.1.1-07</t>
  </si>
  <si>
    <t>Opismenjevanje in učna pomoč za prosilce</t>
  </si>
  <si>
    <t>A.SO1.1.1-07A</t>
  </si>
  <si>
    <t>A.SO1.1.1-08</t>
  </si>
  <si>
    <t>Materialna oskrba prosilcev za azil (žepnine, plačilo pomoči pri vzdrževalnih delih, itd.)</t>
  </si>
  <si>
    <t>A.SO1.1.1-08A</t>
  </si>
  <si>
    <t>A.SO1.1.2</t>
  </si>
  <si>
    <t>Krepitev pristojnih služb, vključenih v obdelavo prošenj za mednarodno zaščito</t>
  </si>
  <si>
    <t>A.SO1.1.2-01</t>
  </si>
  <si>
    <t>Usposabljanje javnih uslužbencev, zakonitih zastopnikov in drugih v azilni problematiki</t>
  </si>
  <si>
    <t>A.SO1.1.2-01A</t>
  </si>
  <si>
    <t>Usposabljanje zakonitih zastopnikov za mladoletnike brez spremstva, svetovalcev za begunce, javnih uslužbencev (na področju odločanja, psihosocialnega dela, COI, upravnih enot...), policistov, prevajalcev</t>
  </si>
  <si>
    <t>A.SO1.1.3</t>
  </si>
  <si>
    <t>Vzpostavitev trajnostne in strukturirane brezplačne pravne pomoči na prvi stopnji</t>
  </si>
  <si>
    <t>A.SO1.1.4</t>
  </si>
  <si>
    <t xml:space="preserve">Razvoj sprejemne infrastrukture, storitev in bivanjskih razmer z rednim vzdrževanjem </t>
  </si>
  <si>
    <t>A.SO1.1.4-01</t>
  </si>
  <si>
    <t>Investicijsko vzdrževanje azilnega doma ter nakup opreme</t>
  </si>
  <si>
    <t>A.SO1.1.4-01A</t>
  </si>
  <si>
    <t>Investicijsko vzdrževanje azilnega doma, nakup dotrajane ali uničene opreme, ki je nujno potrebna za obratovanje azilnega doma ter vzpostavitev brezplačnega brezžičnega dostopa do interneta za prosilce za mednarodno zaščito</t>
  </si>
  <si>
    <t>A.SO1.1.4-02</t>
  </si>
  <si>
    <t>Izboljšanje pogojev za izvajanje omejitve gibanja v azilnem domu</t>
  </si>
  <si>
    <t>A.SO1.1.4-02A</t>
  </si>
  <si>
    <t>Izboljšanje pogojev za izvajanje omejitve gibanja prosilcem za mednarodno zaščito v azilnem domu</t>
  </si>
  <si>
    <t>A.SO1.1.5</t>
  </si>
  <si>
    <t>Izboljšanje uporabe alternativ k pridržanju</t>
  </si>
  <si>
    <t>MNZ-SES-PESNVM</t>
  </si>
  <si>
    <t>A.SO1.1.6</t>
  </si>
  <si>
    <t>Olajšanje identifikacije ranljivih oseb ter zagotavljanje ustreznih okoliščin in storitev</t>
  </si>
  <si>
    <t>A.SO1.1.6-01</t>
  </si>
  <si>
    <t>Preprečevanje trgovine z ljudmi, spolnega nasilja ali nasilja po spolu</t>
  </si>
  <si>
    <t>A.SO1.1.6-01A</t>
  </si>
  <si>
    <t>A.SO1.1.6-02</t>
  </si>
  <si>
    <t>Podpora prosilcem (psihiatrična podpora, izvedenci, zakoniti zastopniki za mladoletne)</t>
  </si>
  <si>
    <t>A.SO1.1.6-02A</t>
  </si>
  <si>
    <t>Podpora prosilcem (psihiatrična podpora, priprava izvedeniških mnenj in zagotavljanje zakonitih zastopnikov za mladoletne prosilce)</t>
  </si>
  <si>
    <t>A.SO1.1.7</t>
  </si>
  <si>
    <t>Zagotavljanje ustreznih sredstev prosilcem za mednarodno zaščito izven sprejemnih centrov</t>
  </si>
  <si>
    <t>A.SO1.1.7-01</t>
  </si>
  <si>
    <t>Finančna pomoč za nastanitev prosilcev za mednarodno zaščito na zasebnem naslovu</t>
  </si>
  <si>
    <t>A.SO1.1.7-01A</t>
  </si>
  <si>
    <t>Finančna pomoč za nastanitev prosilcev za mednarodno zaščito, ki izpolnjujejo pogoje v skladu z zakonom o mednarodni zaščiti,  na zasebnem naslovu</t>
  </si>
  <si>
    <t>A.SO1.1.8</t>
  </si>
  <si>
    <t>Ozaveščanje splošne javnosti (usposabljanja, informacijske kampanje in dogodki)</t>
  </si>
  <si>
    <t>/</t>
  </si>
  <si>
    <t>A.SO1.1.8-01</t>
  </si>
  <si>
    <t>Obeležitev svetovnega dneva beguncev</t>
  </si>
  <si>
    <t>A.SO1.1.8-01A</t>
  </si>
  <si>
    <t xml:space="preserve">Obeležitev svetovnega dneva beguncev			_x000D_
</t>
  </si>
  <si>
    <t>A.SO1.2</t>
  </si>
  <si>
    <t>Vrednotenje</t>
  </si>
  <si>
    <t>A.SO1.2.1</t>
  </si>
  <si>
    <t>Zagotavljanje stalnega delovanja sistema za spremljanje nacionalnih sprejemnih kapacitet</t>
  </si>
  <si>
    <t>A.SO1.2.2</t>
  </si>
  <si>
    <t>Stalno delovanje obstoječega državnega sistema za vrednotenje azilnih postopkov</t>
  </si>
  <si>
    <t>A.SO1.2.3</t>
  </si>
  <si>
    <t xml:space="preserve">Izvedba sistema za načrtovanje ukrepov za upravljanje velikih pritokov prosilcev </t>
  </si>
  <si>
    <t>A.SO1.3</t>
  </si>
  <si>
    <t>Preselitev [Resettlement]</t>
  </si>
  <si>
    <t>A.SO1.3.1</t>
  </si>
  <si>
    <t>A.SO1.3.1-01</t>
  </si>
  <si>
    <t>Preselitev [Resettlement] oseb, ki potrebujejo mednarodno zaščito</t>
  </si>
  <si>
    <t>A.SO1.3.1-01A</t>
  </si>
  <si>
    <t>A.SO2</t>
  </si>
  <si>
    <t>Vključevanje/zakonito priseljevanje</t>
  </si>
  <si>
    <t>A.SO2.1</t>
  </si>
  <si>
    <t>Zakonito priseljevanje</t>
  </si>
  <si>
    <t>A.SO2.1.1</t>
  </si>
  <si>
    <t>Delovanje informacijske točke za državljane tretjih držav in osebe z mednarodno zaščito</t>
  </si>
  <si>
    <t>A.SO2.1.1-01</t>
  </si>
  <si>
    <t>Zagotavljanje informacij o življenju in delu v RS predvsem za državljane tretjih držav</t>
  </si>
  <si>
    <t>A.SO2.1.1-01A</t>
  </si>
  <si>
    <t>Zagotavljanje informacij o življenju in delu v Republiki Sloveniji, namenjenih predvsem državljanom tretjih držav, ki že prebivajo v  Sloveniji ali se  nameravajo k nam priseliti</t>
  </si>
  <si>
    <t>A.SO2.2</t>
  </si>
  <si>
    <t>Vključevanje</t>
  </si>
  <si>
    <t>A.SO2.2.1</t>
  </si>
  <si>
    <t>Nadaljnje izvajanje programov za osnovno pomoč državljanom tretjih držav (tečaji, izpiti)</t>
  </si>
  <si>
    <t>A.SO2.2.1-01</t>
  </si>
  <si>
    <t xml:space="preserve">Tečaji slovenskega jezika </t>
  </si>
  <si>
    <t>A.SO2.2.1-01A</t>
  </si>
  <si>
    <t>Tečaji slovenskega jezika - začetna integracija priseljencev</t>
  </si>
  <si>
    <t>A.SO2.2.1-02</t>
  </si>
  <si>
    <t xml:space="preserve">Izpiti iz slovenskega jezika </t>
  </si>
  <si>
    <t>A.SO2.2.1-02A</t>
  </si>
  <si>
    <t>Opravljanje izpitov iz slovenskega jezika</t>
  </si>
  <si>
    <t>A.SO2.2.2</t>
  </si>
  <si>
    <t>Posebni ukrepi namenjeni ranljivimi osebam in upravičencem do mednarodne zaščite</t>
  </si>
  <si>
    <t>A.SO2.2.2-01</t>
  </si>
  <si>
    <t>Aktivno vključevanje posebnih ciljnih skupin državljanov tretjih držav v slovensko družbo</t>
  </si>
  <si>
    <t>A.SO2.2.3</t>
  </si>
  <si>
    <t>Pomoč pri vključevanju, obsegajoč pomoč za celostno vključevanje oseb z mednarodno zaščito</t>
  </si>
  <si>
    <t>A.SO2.2.3-01</t>
  </si>
  <si>
    <t>Pomoč pri integraciji oseb z mednarodno zaščito</t>
  </si>
  <si>
    <t>A.SO2.2.3-01A</t>
  </si>
  <si>
    <t>Pomoč pri integraciji za osebe z mednarodno zaščito</t>
  </si>
  <si>
    <t>A.SO2.2.3-02</t>
  </si>
  <si>
    <t>Finančna pomoč osebam z mednarodno zaščito</t>
  </si>
  <si>
    <t>A.SO2.2.3-02A</t>
  </si>
  <si>
    <t>A.SO2.2.3-03</t>
  </si>
  <si>
    <t>Program celostne pomoči osebam z mednarodno zaščito pri vključevanju v slovensko družbo</t>
  </si>
  <si>
    <t>A.SO2.2.3-03A</t>
  </si>
  <si>
    <t>A.SO2.2.3-04</t>
  </si>
  <si>
    <t>Orientacijski program za osebe, preseljene v Republiko Slovenijo na podlagi letne kvote</t>
  </si>
  <si>
    <t>A.SO2.2.3-04A</t>
  </si>
  <si>
    <t>A.SO2.2.3-05</t>
  </si>
  <si>
    <t>Nudenje celostne obravnave trajno preseljenim osebam (resettlement)</t>
  </si>
  <si>
    <t>A.SO2.2.4</t>
  </si>
  <si>
    <t>Analiza in vrednotenje ukrepov vključevanja za potrebe izboljšanja dejavnosti in storitev</t>
  </si>
  <si>
    <t>A.SO2.2.5</t>
  </si>
  <si>
    <t xml:space="preserve">Dejavnosti ozaveščanja in informacijski ukrepi, ki vključujejo vse pomembnejše deležnike </t>
  </si>
  <si>
    <t>A.SO2.2.5-01</t>
  </si>
  <si>
    <t>Vsi smo migranti</t>
  </si>
  <si>
    <t>A.SO2.2.5-01A</t>
  </si>
  <si>
    <t>A.SO2.2.5-02</t>
  </si>
  <si>
    <t>Spodbujanje medkulturnega dialoga</t>
  </si>
  <si>
    <t>A.SO2.2.6</t>
  </si>
  <si>
    <t>Oblikovanje/izvedba informacijskih programov z uporabo različnih komunikacijskih sredstev</t>
  </si>
  <si>
    <t>A.SO2.2.6-01</t>
  </si>
  <si>
    <t>Informacijska kampanja za obveščanje o možnostih sodelovanja v programih integracije</t>
  </si>
  <si>
    <t>A.SO2.3</t>
  </si>
  <si>
    <t>Zmogljivost [Capacity]</t>
  </si>
  <si>
    <t>A.SO2.3.1</t>
  </si>
  <si>
    <t>Spodbujanje trajnostnega sodelovanja med ustreznimi organi in organizacijami</t>
  </si>
  <si>
    <t>A.SO2.3.1-01</t>
  </si>
  <si>
    <t>Ogled dobrih praks med izvajanjem, izmenjava podatkov med pristojnimi organi držav članic</t>
  </si>
  <si>
    <t>A.SO2.3.2</t>
  </si>
  <si>
    <t>Usposabljanje kadrov, ki se ukvarjajo z vprašanji vključevanja državljanov tretjih držav</t>
  </si>
  <si>
    <t>A.SO2.3.2-01</t>
  </si>
  <si>
    <t>Usposabljanje zasebnih in javnih uslužbencev z namenom pridobivanja medkulturnih kompetenc</t>
  </si>
  <si>
    <t>A.SO2.3.3</t>
  </si>
  <si>
    <t>Izboljšanje storitev in bivanja za osebe pod mednarodno zaščito v integracijskih hišah</t>
  </si>
  <si>
    <t>A.SO2.3.3-01</t>
  </si>
  <si>
    <t>Vdrževanje integracijskih hiš in nakup opreme</t>
  </si>
  <si>
    <t>A.SO2.3.3-01A</t>
  </si>
  <si>
    <t>Vzdrževanje integracijskih hiš, ki so namenjeni prehodnemu bivanju oseb, ki imajo priznano mednarodno zaščito in nakup potrebne opreme</t>
  </si>
  <si>
    <t>A.SO2.3.3-02</t>
  </si>
  <si>
    <t>Izdaja slovarja namenjenega lažji komunikaciji migrantov z zdravstvenim osebjem</t>
  </si>
  <si>
    <t>A.SO2.3.3-02A</t>
  </si>
  <si>
    <t>A.SO2.3.4</t>
  </si>
  <si>
    <t>Nadgradnja in vzdrževanje obstoječih evidenc za učinkovito statistično beleženje</t>
  </si>
  <si>
    <t>A.SO2.3.4-01</t>
  </si>
  <si>
    <t>Nadgradnja informacijskega sistema upravnih notranjih zadev</t>
  </si>
  <si>
    <t>A.SO2.3.4-01A</t>
  </si>
  <si>
    <t>Nadgradnja informacijskega sistema upravnih notranjih zadev s področja migracij</t>
  </si>
  <si>
    <t>Nerazporejena sredstva SO2.3</t>
  </si>
  <si>
    <t>Darija Gala</t>
  </si>
  <si>
    <t>Policija - Uprava uniformirane policije</t>
  </si>
  <si>
    <t>IB.SA1</t>
  </si>
  <si>
    <t>Konzularno sodelovanje (posebni ukrep) - Schengenska pisarna v Prištini</t>
  </si>
  <si>
    <t>IB.SA1.1</t>
  </si>
  <si>
    <t>IB.SA1.1.1</t>
  </si>
  <si>
    <t>IB.SA1.1.1-01</t>
  </si>
  <si>
    <t>Ministrstvo za zunanje zadeve</t>
  </si>
  <si>
    <t>IB.SO1</t>
  </si>
  <si>
    <t>Podpora skupni vizumski politiki</t>
  </si>
  <si>
    <t>IB.SO1.1</t>
  </si>
  <si>
    <t>Nacionalne zmogljivosti</t>
  </si>
  <si>
    <t>IB.SO1.1.1</t>
  </si>
  <si>
    <t>Razvoj izboljšanega vizumskega informacijskega sistema</t>
  </si>
  <si>
    <t>IB.SO1.1.1-01</t>
  </si>
  <si>
    <t>IB.SO1.1.1-01A</t>
  </si>
  <si>
    <t>Razvoj vrhunskega vizumskega informacijskega sistema z zanesljivimi komunikacijskimi linijami, možnostjo hitre ponovne vzpostavitve delovnega procesa v primeru izpada ter orodij za učinkovito upravljanje sistema</t>
  </si>
  <si>
    <t>IB.SO1.1.1-02</t>
  </si>
  <si>
    <t>Zagotavljanje kvalitetne povezljivosti do MZZ - ZAMENJAVA ZA PODGORICO</t>
  </si>
  <si>
    <t>IB.SO1.1.1-02A</t>
  </si>
  <si>
    <t>Zagotovitev ustreznega delovanja viznega sistema na diplomatsko-konzularnih predstavništvih, katerim je potrebno zagotoviti kakovostno spletno povezljivost s centralno lokacijo na MZZ</t>
  </si>
  <si>
    <t>IB.SO1.1.2</t>
  </si>
  <si>
    <t>Nakup strojne opreme, ki podpira izdajo vizumov (računalniki, strežniki, skenerji, ...)</t>
  </si>
  <si>
    <t>IB.SO1.1.2-01</t>
  </si>
  <si>
    <t>Nakup strojne opreme za podporo obdelavi vizumskih vlog</t>
  </si>
  <si>
    <t>IB.SO1.1.2-01A</t>
  </si>
  <si>
    <t>IB.SO1.1.2-02</t>
  </si>
  <si>
    <t>Nakup opreme za odvzem prstnih odtisov</t>
  </si>
  <si>
    <t>IB.SO1.1.2-02A</t>
  </si>
  <si>
    <t>IB.SO1.1.3</t>
  </si>
  <si>
    <t>Pridobitev programske opreme (razvoj VIZIS in opreme za spletno oddajo vizumskih vlog ...)</t>
  </si>
  <si>
    <t>IB.SO1.1.3-01</t>
  </si>
  <si>
    <t>Nakup programskih komponent nacionalnega vizumskega informacijskega sistema</t>
  </si>
  <si>
    <t>IB.SO1.1.3-01A</t>
  </si>
  <si>
    <t>IB.SO1.1.4</t>
  </si>
  <si>
    <t>Nakup opreme za odkrivanje ponarejenih dokumentov in licenc za dostop do baz podatkov</t>
  </si>
  <si>
    <t>Nakup opreme za odkrivanje ponarejenih dokumentov, vključno s pridobitvijo licence za dostop do baze podatkov o ponarejenih dokumentih</t>
  </si>
  <si>
    <t>IB.SO1.1.4-01</t>
  </si>
  <si>
    <t>Nakup opreme za odkrivanje ponarejenih dokumentov</t>
  </si>
  <si>
    <t>IB.SO1.1.4-01A</t>
  </si>
  <si>
    <t>IB.SO1.1.5</t>
  </si>
  <si>
    <t xml:space="preserve">Izboljšanje varnostnih standardov, funkcij, procesov na predstavništvih v tretjih državah </t>
  </si>
  <si>
    <t>IB.SO1.1.5-01</t>
  </si>
  <si>
    <t>IB.SO1.2</t>
  </si>
  <si>
    <t>Pravni red Unije</t>
  </si>
  <si>
    <t>IB.SO1.2.1</t>
  </si>
  <si>
    <t>Usposabljanje osebja na področju odkrivanja ponarejenih dokumentov</t>
  </si>
  <si>
    <t>IB.SO1.2.1-01</t>
  </si>
  <si>
    <t>Usposabljanje osebja na področju prepoznavanja ponarejenih dokumentov</t>
  </si>
  <si>
    <t>IB.SO1.2.1-01A</t>
  </si>
  <si>
    <t>IB.SO1.2.2</t>
  </si>
  <si>
    <t>Standardno usposabljanje na osredni lokaciji ter veleposlaništvih/konzulatih v tujini</t>
  </si>
  <si>
    <t>IB.SO1.2.2-01</t>
  </si>
  <si>
    <t>Standardno konzularno usposabljanje</t>
  </si>
  <si>
    <t>IB.SO1.2.2-01A</t>
  </si>
  <si>
    <t xml:space="preserve">Usposabljanje o posodobitvah pravnega reda EU, tehnologijah, delovnih metodah na področju vizumov ter usposabljanje s področja prenarejenih in ponarejenih dokumentov. </t>
  </si>
  <si>
    <t>IB.SO1.2.3</t>
  </si>
  <si>
    <t>Prednapotitveno usposabljanje o jezikovnih in medkulturnih kompetencah zaposlenih</t>
  </si>
  <si>
    <t>Prednapotitveno usposabljanje in usposabljanje na kraju samem o jezikovnih in medkulturnih kompetencah zaposlenih, ki komunicirajo s prosilci za izdajo vizumov na veleposlaništvih in konzulatih</t>
  </si>
  <si>
    <t>IB.SO1.2.3-01</t>
  </si>
  <si>
    <t>Jezikovni tečaji za zaposlene na konzularnih oddelkih</t>
  </si>
  <si>
    <t>IB.SO1.2.3-01A</t>
  </si>
  <si>
    <t>IB.SO1.3</t>
  </si>
  <si>
    <t>Konzularno sodelovanje</t>
  </si>
  <si>
    <t>IB.SO1.3.1</t>
  </si>
  <si>
    <t>Podpora in nadaljnji razvoj skupnega prijavnega centra na veleposlaništvu v Podgorici</t>
  </si>
  <si>
    <t>IB.SO1.3.1-01</t>
  </si>
  <si>
    <t xml:space="preserve">Podpora in razvoj skupnega prijavnega centra (CAC) na veleposlaništvu v Podgorici </t>
  </si>
  <si>
    <t>IB.SO2</t>
  </si>
  <si>
    <t>Meje</t>
  </si>
  <si>
    <t>IB.SO2.1</t>
  </si>
  <si>
    <t>EUROSUR</t>
  </si>
  <si>
    <t>IB.SO2.1.1</t>
  </si>
  <si>
    <t>Aktivnosti za podporo operacijam, nadgradnjo in razvoja NCC (tehnična,  programska oprema)</t>
  </si>
  <si>
    <t>IB.SO2.1.2</t>
  </si>
  <si>
    <t>Razvoj strojne in programske opreme za nadgradnjo nivoja analiz državne slike o razmerah</t>
  </si>
  <si>
    <t>IB.SO2.1.3</t>
  </si>
  <si>
    <t>Nabava policijskih patruljnih čolnov za nadzorovanje morske meje</t>
  </si>
  <si>
    <t>Nabava policijskih patruljnih čolnov za uspešno nadzorovanje morske meje z namenom pridobitve podatkov za državne slike o razmerah z uporabo navigacijskih sistemov in poročanjem o pomembnih dogodkih</t>
  </si>
  <si>
    <t>IB.SO2.1.3-01</t>
  </si>
  <si>
    <t>Sandra Turk</t>
  </si>
  <si>
    <t>IB.SO2.1.3-01A</t>
  </si>
  <si>
    <t>IB.SO2.1.4</t>
  </si>
  <si>
    <t>Delitev državne slike o razmerah na morju s sosednjimi državami članicami</t>
  </si>
  <si>
    <t>IB.SO2.1.4-01</t>
  </si>
  <si>
    <t>Delitev državne slike o razmerah s Hrvaško</t>
  </si>
  <si>
    <t>IB.SO2.1.4-01A</t>
  </si>
  <si>
    <t>IB.SO2.1.5</t>
  </si>
  <si>
    <t>Krepitev sodelovanja in mehanizmov obveščanja za izmenjave informacij</t>
  </si>
  <si>
    <t>IB.SO2.1.6</t>
  </si>
  <si>
    <t>Podpora procesu izdelave analize tveganj za izvajanje mejne kontrole v pomorskem prometu</t>
  </si>
  <si>
    <t>IB.SO2.1.6-01</t>
  </si>
  <si>
    <t>Dostop do komercialnih baz podatkov za potrebe mejne kontrole</t>
  </si>
  <si>
    <t>IB.SO2.1.6-01A</t>
  </si>
  <si>
    <t>IB.SO2.2</t>
  </si>
  <si>
    <t>Izmenjava informacij</t>
  </si>
  <si>
    <t>IB.SO2.2.1</t>
  </si>
  <si>
    <t>Zagotavljanje zmogljivosti centralnega računalnika policije in vzpostavitev infrastrukture</t>
  </si>
  <si>
    <t>IB.SO2.2.1-01</t>
  </si>
  <si>
    <t>Zamenjava amortiziranega centralnega policijskega strežnika - mainframe (vezano na NS.SIS)</t>
  </si>
  <si>
    <t>Policija - Urad za informatiko in telekomunikacije</t>
  </si>
  <si>
    <t>IB.SO2.2.1-01A</t>
  </si>
  <si>
    <t>Zamenjava amortiziranega centralnega policijskega strežnika - mainframe (del vezan na NS.SIS)</t>
  </si>
  <si>
    <t>IB.SO2.2.1-02</t>
  </si>
  <si>
    <t>Virtualizacija uporabniškega namizja</t>
  </si>
  <si>
    <t>IB.SO2.2.1-02A</t>
  </si>
  <si>
    <t>IB.SO2.2.2</t>
  </si>
  <si>
    <t xml:space="preserve">Usposabljanje o delitvi in izmenjavi informacij </t>
  </si>
  <si>
    <t>IB.SO2.2.2-01</t>
  </si>
  <si>
    <t>Nerazporejena sredstva SO2.2</t>
  </si>
  <si>
    <t>IB.SO2.3</t>
  </si>
  <si>
    <t>Skupni standardi Unije</t>
  </si>
  <si>
    <t>IB.SO2.3.1</t>
  </si>
  <si>
    <t>Razvoj centrov za policijsko sodelovanje-vlaganje v infrastrukturo, IT, programsko opremo</t>
  </si>
  <si>
    <t>IB.SO2.3.1-01</t>
  </si>
  <si>
    <t>Nadaljnji razvoj centrov za policijsko sodelovanje</t>
  </si>
  <si>
    <t>IB.SO2.3.1-01A</t>
  </si>
  <si>
    <t>Nadaljnji razvoj centrov za policijsko sodelovanje z vlaganjem v infrastrukturo, IT in programsko opremo, ki se uporablja izključno za naloge, povezane z upravljanjem meje ali na podlagi ključa za dodelitev sorazmernega s temi</t>
  </si>
  <si>
    <t>IB.SO2.3.2</t>
  </si>
  <si>
    <t>Okrepljena uporaba interoperabilnih sodobnih tehnologij v skladu z evropskimi standardi</t>
  </si>
  <si>
    <t>IB.SO2.3.2-01</t>
  </si>
  <si>
    <t>Vzpostavitev ABC vrat na mejnem prehodu na letališču Jožeta Pučnika</t>
  </si>
  <si>
    <t>IB.SO2.3.2-01A</t>
  </si>
  <si>
    <t>IB.SO2.3.3</t>
  </si>
  <si>
    <t>Usposabljanje za praktično uporabo sodobnih tehnologij</t>
  </si>
  <si>
    <t>IB.SO2.3.3-01</t>
  </si>
  <si>
    <t>IB.SO2.4</t>
  </si>
  <si>
    <t>IB.SO2.4.1</t>
  </si>
  <si>
    <t>Naložbe povezane z organizacijo in izvedbo usposabljanj za mejne straže</t>
  </si>
  <si>
    <t>IB.SO2.4.1-01</t>
  </si>
  <si>
    <t>Organizacija in izvedba osnovnega usposabljanja za nadzornike državne meje</t>
  </si>
  <si>
    <t>Policija - Policijska akademija</t>
  </si>
  <si>
    <t>IB.SO2.4.1-01A</t>
  </si>
  <si>
    <t xml:space="preserve">Organizacija in izvedba osnovnega usposabljanja za nadzornike državne meje_x000D_
_x000D_
</t>
  </si>
  <si>
    <t>IB.SO2.4.2</t>
  </si>
  <si>
    <t>Usposabljanja za pridobivanje jezikovnih, medkulturnih kompetenc za vodenja intervjujev</t>
  </si>
  <si>
    <t>IB.SO2.4.2-01</t>
  </si>
  <si>
    <t xml:space="preserve">Jezikovni tečaji </t>
  </si>
  <si>
    <t>IB.SO2.4.2-01A</t>
  </si>
  <si>
    <t>Jezikovni tečaji</t>
  </si>
  <si>
    <t>IB.SO2.4.3</t>
  </si>
  <si>
    <t>Usposabljanja za odkrivanje ponarejenih dokumentov in ukradenih vozil</t>
  </si>
  <si>
    <t>IB.SO2.4.3-01</t>
  </si>
  <si>
    <t>Nerazporejena sredstva SO2.4</t>
  </si>
  <si>
    <t>IB.SO2.4.4</t>
  </si>
  <si>
    <t>Naložbe v opremo za usposabljanje, ki je potrebna za izvedbo specializiranih usposabljanj</t>
  </si>
  <si>
    <t>IB.SO2.4.4-01</t>
  </si>
  <si>
    <t>Oprema za usposabljanje</t>
  </si>
  <si>
    <t>IB.SO2.4.4-01A</t>
  </si>
  <si>
    <t>IB.SO2.4.5</t>
  </si>
  <si>
    <t>Magistrski študij "European Joint Master's in Strategic Border Management (EJMSBM)"</t>
  </si>
  <si>
    <t>IB.SO2.4.5-01</t>
  </si>
  <si>
    <t>Magistrski študij ""European Joint Master's in Strategic Border Management (EJMSBM)""</t>
  </si>
  <si>
    <t>IB.SO2.4.6</t>
  </si>
  <si>
    <t>Spremljanje priporočil schengenske evalvacije (oprema, boljši prostori, usposabljanja)</t>
  </si>
  <si>
    <t>IB.SO2.4.6-01</t>
  </si>
  <si>
    <t>Nabava opreme za temeljito preiskavo vozil</t>
  </si>
  <si>
    <t>IB.SO2.4.6-01A</t>
  </si>
  <si>
    <t>IB.SO2.4.6-02</t>
  </si>
  <si>
    <t>Prenova prostorov primarnega sistema (Novo mesto)</t>
  </si>
  <si>
    <t>IB.SO2.4.6-03</t>
  </si>
  <si>
    <t>Dodatni EIDA strežniki</t>
  </si>
  <si>
    <t>IB.SO2.4.6-04</t>
  </si>
  <si>
    <t>Nadgradnja sistema sistema enotne prijave (SSO)</t>
  </si>
  <si>
    <t>IB.SO2.4.6-05</t>
  </si>
  <si>
    <t>Usposabljanje na SIS in SIRENE</t>
  </si>
  <si>
    <t>IB.SO2.4.6-06</t>
  </si>
  <si>
    <t>Nakup ročnih termovizijskih naprav</t>
  </si>
  <si>
    <t>IB.SO2.4.6-06A</t>
  </si>
  <si>
    <t>Nabava ročnih termovizijskih naprav</t>
  </si>
  <si>
    <t>IB.SO2.5</t>
  </si>
  <si>
    <t>Prihodnji izzivi</t>
  </si>
  <si>
    <t>IB.SO2.5.1</t>
  </si>
  <si>
    <t>Naložbe v vozila, opremo in infrastrukturo za izravnalne ukrepe (npr. terminali za dostop)</t>
  </si>
  <si>
    <t>IB.SO2.5.1-01</t>
  </si>
  <si>
    <t>Nabava opreme za mobilne preglede</t>
  </si>
  <si>
    <t>IB.SO2.5.1-02</t>
  </si>
  <si>
    <t>Nabava patruljnih vozil policije za izvajanje izravnalnih ukrepov</t>
  </si>
  <si>
    <t>IB.SO2.5.1-02A</t>
  </si>
  <si>
    <t>IB.SO2.5.1-03</t>
  </si>
  <si>
    <t>Nakup rentgenov za preglede pri nadzoru meje</t>
  </si>
  <si>
    <t>IB.SO2.5.1-03A</t>
  </si>
  <si>
    <t>IB.SO2.5.2</t>
  </si>
  <si>
    <t>Naložbe v opremo za preverjanje dokumentov na policijskih enotah (oprema za preglede)</t>
  </si>
  <si>
    <t>IB.SO2.5.2-01</t>
  </si>
  <si>
    <t>Nabava opreme za osnovno preverjanje dokumentov</t>
  </si>
  <si>
    <t>IB.SO2.5.2-01A</t>
  </si>
  <si>
    <t>IB.SO2.5.3</t>
  </si>
  <si>
    <t>Vzpostavitev pogojev za čezmejno komunikacijo s sosednjimi državami prek TETRA vmesnika</t>
  </si>
  <si>
    <t>IB.SO2.5.4</t>
  </si>
  <si>
    <t>Naložbe v razvoj in uporabo novih tehnologij pri delu mejnih policistov</t>
  </si>
  <si>
    <t>IB.SO2.6</t>
  </si>
  <si>
    <t>IB.SO2.6.1</t>
  </si>
  <si>
    <t>Zamenjava opreme na mejnih prehodih z namenom zagotavljanja schengenskih standardov</t>
  </si>
  <si>
    <t>IB.SO2.6.1-01</t>
  </si>
  <si>
    <t>Ministrstvo za javno upravo</t>
  </si>
  <si>
    <t>IB.SO2.6.1-01A</t>
  </si>
  <si>
    <t xml:space="preserve">Zamenjava obrabljene, poškodovane in dotrajane opreme na mejnih prehodih z namenom zagotavljanja schengenskih standardov, kar omogoča pogoje za učinkovito schengensko kontrolo		_x000D_
</t>
  </si>
  <si>
    <t>IB.SO2.6.2</t>
  </si>
  <si>
    <t>Napotitev uradnika za zvezo za priseljevanje v državo Zahodnega Balkana, 50 % iz ISF</t>
  </si>
  <si>
    <t>IB.SO2.6.2-01</t>
  </si>
  <si>
    <t>Napotitev uradnika za zvezo za priseljevanje v Srbijo (Beograd)</t>
  </si>
  <si>
    <t>Policija - Sektor za mednarodne policijske operacije</t>
  </si>
  <si>
    <t>IB.SO2.6.2-01A</t>
  </si>
  <si>
    <t>Napotitev uradnika za zvezo za priseljevanje v Srbijo (Beograd) z namenom povečanja izmenjave informacij o nezakonitem priseljevanju z regijo, delno financirana iz Sklada za notranjo varnost (50 %)</t>
  </si>
  <si>
    <t>IB.SO2.6.3</t>
  </si>
  <si>
    <t>Nabava opreme za ohranitev schengenskih standardov (patruljna vozila, IT, zaščitna oprema)</t>
  </si>
  <si>
    <t>IB.SO2.6.3-01</t>
  </si>
  <si>
    <t>Nabava opreme potrebne za ohranitev schengenskih standardov</t>
  </si>
  <si>
    <t>IB.SO2.6.3-01A</t>
  </si>
  <si>
    <t>IB.SO2.6.4</t>
  </si>
  <si>
    <t>Naložbe povezane z neprekinjenim delovanjem nacionalnega sistema SIS II in SIRENE</t>
  </si>
  <si>
    <t>IB.SO2.6.4-01</t>
  </si>
  <si>
    <t>Zamenjava amortizirane SIRENE II strežniške infrastrukture</t>
  </si>
  <si>
    <t>IB.SO2.6.4-02</t>
  </si>
  <si>
    <t>Zamenjava amortiziranih namiznih računalnikov (uporabniki NS-SIS in SIRENE operaterji)</t>
  </si>
  <si>
    <t>IB.SO2.6.5</t>
  </si>
  <si>
    <t>Investicije v opremo, razvoj ustrezne programske opreme za izvajanje Smart Borders</t>
  </si>
  <si>
    <t>IB.SO2.6.6</t>
  </si>
  <si>
    <t>Zaključek integracije VIS za celinski dostop</t>
  </si>
  <si>
    <t>IB.SO2.6.6-01</t>
  </si>
  <si>
    <t>Nerazporejena sredstva SO2.6</t>
  </si>
  <si>
    <t>IB.SO3</t>
  </si>
  <si>
    <t>Operativna podpora</t>
  </si>
  <si>
    <t>IB.SO3.1</t>
  </si>
  <si>
    <t>Operativna podpora za vizume</t>
  </si>
  <si>
    <t>IB.SO3.1.1</t>
  </si>
  <si>
    <t>Stroški osebja (s pomočjo izračunane urne postavke za stroške osebja)</t>
  </si>
  <si>
    <t>IB.SO3.1.1-01</t>
  </si>
  <si>
    <t xml:space="preserve">Stroški plač </t>
  </si>
  <si>
    <t>IB.SO3.1.1-01A</t>
  </si>
  <si>
    <t>Stroški plač</t>
  </si>
  <si>
    <t>IB.SO3.2</t>
  </si>
  <si>
    <t>Operativna podpora za meje</t>
  </si>
  <si>
    <t>IB.SO3.2.1</t>
  </si>
  <si>
    <t>IB.SO3.2.10</t>
  </si>
  <si>
    <t>Vzdrževanje SIS II komunikacijskega vnesnika (SIB)</t>
  </si>
  <si>
    <t>IB.SO3.2.10-01</t>
  </si>
  <si>
    <t>Vzdrževanje SIS II komunikacijskega vmesnika (SIB)</t>
  </si>
  <si>
    <t>IB.SO3.2.10-01A</t>
  </si>
  <si>
    <t>IB.SO3.2.1-01</t>
  </si>
  <si>
    <t>Stroški plač (nadzorniki državne meje)</t>
  </si>
  <si>
    <t>Ministrstvo za notranje zadeve</t>
  </si>
  <si>
    <t>IB.SO3.2.1-02</t>
  </si>
  <si>
    <t>Stroški plač (SIS - pripravljenost na domu)</t>
  </si>
  <si>
    <t>IB.SO3.2.1-02A</t>
  </si>
  <si>
    <t>Stroški plač (SIS- pripravljenost na domu)</t>
  </si>
  <si>
    <t>IB.SO3.2.11</t>
  </si>
  <si>
    <t>Vzdrževanje in nadgradnja nacionalnega SIS II</t>
  </si>
  <si>
    <t>IB.SO3.2.12</t>
  </si>
  <si>
    <t>Obratovanje SIRENE ter vzdrževanje in zamenjava nacionalne informacijske infrastrukture</t>
  </si>
  <si>
    <t>IB.SO3.2.13</t>
  </si>
  <si>
    <t>Stroški izvedbe testiranj SIS II in SIRENE z državami članicami kandidatkami</t>
  </si>
  <si>
    <t>IB.SO3.2.13-01</t>
  </si>
  <si>
    <t>IB.SO3.2.14</t>
  </si>
  <si>
    <t xml:space="preserve">Stroški vzdrževanja povezani s komunikacijsko opremo </t>
  </si>
  <si>
    <t>IB.SO3.2.14-01</t>
  </si>
  <si>
    <t>Stroški vzdrževanja in obnove infrastrukturnih objektov</t>
  </si>
  <si>
    <t>IB.SO3.2.14-01A</t>
  </si>
  <si>
    <t>Stroški vzdrževanja in obnove infrastrukturnih objektov in pripadajočih naprav za digitalni radijski sistem v mejnem območju (rezervno napajanje, antenski stolpi, prostori za bazne postaje)</t>
  </si>
  <si>
    <t>IB.SO3.2.2</t>
  </si>
  <si>
    <t>Stroški storitev (vzdrževanje, popravila, nadgradnja, menjava opreme za upravljanja meja)</t>
  </si>
  <si>
    <t>IB.SO3.2.2-01</t>
  </si>
  <si>
    <t>Stroški vzdrževanja opreme in sistemov za nadzor državne meje</t>
  </si>
  <si>
    <t>IB.SO3.2.2-01A</t>
  </si>
  <si>
    <t>IB.SO3.2.2-02</t>
  </si>
  <si>
    <t>Stroški vzdrževanja videonadzornih sistemov na državni meji</t>
  </si>
  <si>
    <t>IB.SO3.2.2-02A</t>
  </si>
  <si>
    <t>IB.SO3.2.2-03</t>
  </si>
  <si>
    <t>Stroški vzdrževanja vozil za nadzor državne meje in PPIU</t>
  </si>
  <si>
    <t>IB.SO3.2.3</t>
  </si>
  <si>
    <t>Vzdrževanje in nadgradnja operativnih zmogljivosti na morju</t>
  </si>
  <si>
    <t>Vzdrževanje in nadgradnja operativnih zmogljivosti na morju (npr. patruljnih čolnov in opreme za nadzor morja)</t>
  </si>
  <si>
    <t>IB.SO3.2.3-01</t>
  </si>
  <si>
    <t>IB.SO3.2.3-01A</t>
  </si>
  <si>
    <t>IB.SO3.2.4</t>
  </si>
  <si>
    <t>Upravljanje in vzdrževanje infrastrukture mejnih prehodov</t>
  </si>
  <si>
    <t>IB.SO3.2.4-01</t>
  </si>
  <si>
    <t>IB.SO3.2.4-01A</t>
  </si>
  <si>
    <t>IB.SO3.2.5</t>
  </si>
  <si>
    <t>Vzdrževanje in razvoj Nacionalnega centra za koordinacijo (NCC)</t>
  </si>
  <si>
    <t>IB.SO3.2.6</t>
  </si>
  <si>
    <t>Nepremičnine (amortizacija, obnova ali najem varnih prostorov)</t>
  </si>
  <si>
    <t>IB.SO3.2.7</t>
  </si>
  <si>
    <t>Upravljanje SIS in novih nacionalnih sistemov vzpostavljenih v programskem obdobju</t>
  </si>
  <si>
    <t>IB.SO3.2.8</t>
  </si>
  <si>
    <t xml:space="preserve">Komunikacijska infrastruktura in varnost ter zadeve, povezane z varstvom podatkov </t>
  </si>
  <si>
    <t>IB.SO3.2.8-01</t>
  </si>
  <si>
    <t>Stroški vzdrževanja širokopasovnega komunikacijskega omrežja (WAN)</t>
  </si>
  <si>
    <t>IB.SO3.2.8-02</t>
  </si>
  <si>
    <t>Stroški vzdrževanja čezmejnih digitalnih radijskih sistemov</t>
  </si>
  <si>
    <t>IB.SO3.2.9</t>
  </si>
  <si>
    <t xml:space="preserve">Vzdrževanje in uporaba nacionalne SIS II infrastrukture </t>
  </si>
  <si>
    <t>IB.SO3.2.9-01</t>
  </si>
  <si>
    <t>IB.SO3.2.9-01A</t>
  </si>
  <si>
    <t>IP.SO5</t>
  </si>
  <si>
    <t>Preprečevanje kriminala in boj proti njemu</t>
  </si>
  <si>
    <t>IP.SO5.1</t>
  </si>
  <si>
    <t>Kriminal - preprečevanje in boj</t>
  </si>
  <si>
    <t>IP.SO5.1.1</t>
  </si>
  <si>
    <t>Krepitev zmogljivosti za preprečevanje, odkrivanje in preiskovanje kriminalnih skupin/mrež</t>
  </si>
  <si>
    <t>IP.SO5.1.1-01</t>
  </si>
  <si>
    <t>Elektronski dostop do podatkovnih baz</t>
  </si>
  <si>
    <t>Policija - Generalna policijska uprava - Uprava kriminalistične policije</t>
  </si>
  <si>
    <t>IP.SO5.1.1-01A</t>
  </si>
  <si>
    <t xml:space="preserve">Elektronski dostop do podatkovnih baz za odkrivanje in preiskovanje kaznivih dejanj v predkazenskem postopku			_x000D_
</t>
  </si>
  <si>
    <t>IP.SO5.1.1-02</t>
  </si>
  <si>
    <t>Prenova informacijskega sistema s področja kriminalitete (ISPK)</t>
  </si>
  <si>
    <t>IP.SO5.1.1-02A</t>
  </si>
  <si>
    <t>IP.SO5.1.1-03</t>
  </si>
  <si>
    <t>Preprečevanje delovanja organiziranih kriminalnih združb, ki tihotapijo nevarne snovi</t>
  </si>
  <si>
    <t>IP.SO5.1.1-03A</t>
  </si>
  <si>
    <t>Preprečevanje delovanja organiziranih kriminalnih združb, ki tihotapijo nevarne snovi in odpadke</t>
  </si>
  <si>
    <t>IP.SO5.1.1-04</t>
  </si>
  <si>
    <t>Nakup robota za deaktiviranje neeksplodirane naprave</t>
  </si>
  <si>
    <t>Policija - Specialna enota</t>
  </si>
  <si>
    <t>IP.SO5.1.1-05</t>
  </si>
  <si>
    <t>Nakup hidravličnega sistema za nasilno odpiranje protivlomnih vrat</t>
  </si>
  <si>
    <t>IP.SO5.1.1-05A</t>
  </si>
  <si>
    <t>IP.SO5.1.1-06</t>
  </si>
  <si>
    <t>Materialno tehnična podpora enotam kriminalistične policije</t>
  </si>
  <si>
    <t>IP.SO5.1.1-06A</t>
  </si>
  <si>
    <t>IP.SO5.1.2</t>
  </si>
  <si>
    <t>Podpora, razvoj posebnih preiskovalnih ukrepov in skupnih čezmejnih dejavnosti</t>
  </si>
  <si>
    <t>IP.SO5.1.2-01</t>
  </si>
  <si>
    <t xml:space="preserve">Nakup vozil za čezmejno tajno opazovanje </t>
  </si>
  <si>
    <t>IP.SO5.1.2-01A</t>
  </si>
  <si>
    <t>Nakup vozil za čezmejno tajno opazovanje</t>
  </si>
  <si>
    <t>IP.SO5.1.2-02</t>
  </si>
  <si>
    <t xml:space="preserve">Nakup opreme za izvajanja ukrepov tajnega opazovanja </t>
  </si>
  <si>
    <t>IP.SO5.1.2-02A</t>
  </si>
  <si>
    <t>Nakup opreme za izvajanja ukrepov tajnega opazovanja</t>
  </si>
  <si>
    <t>IP.SO5.1.2-03</t>
  </si>
  <si>
    <t>Financiranje delovanja enote za tajno opazovanje</t>
  </si>
  <si>
    <t>IP.SO5.1.2-03A</t>
  </si>
  <si>
    <t>IP.SO5.1.2-04</t>
  </si>
  <si>
    <t>Nakup opreme za izvajanje ukrepa prisluškovanja in opazovanja v prostoru (151. člen ZKP)</t>
  </si>
  <si>
    <t>IP.SO5.1.2-05</t>
  </si>
  <si>
    <t>Finančno nagrajevanje virov in informatorjev policije</t>
  </si>
  <si>
    <t>IP.SO5.1.2-05A</t>
  </si>
  <si>
    <t>IP.SO5.1.2-06</t>
  </si>
  <si>
    <t>Nadgradnja sistema za prepoznavo telekomunikacijske opreme</t>
  </si>
  <si>
    <t>IP.SO5.1.2-06A</t>
  </si>
  <si>
    <t>IP.SO5.1.3</t>
  </si>
  <si>
    <t>Izboljšanje zmogljivosti za boj proti kibernetski kriminaliteti</t>
  </si>
  <si>
    <t>IP.SO5.1.3-01</t>
  </si>
  <si>
    <t>Razvoj specializiranih področij digitalne forenzike</t>
  </si>
  <si>
    <t>IP.SO5.1.3-01A</t>
  </si>
  <si>
    <t>IP.SO5.1.3-02</t>
  </si>
  <si>
    <t>Informacijski sistem za shranjevanje in preiskovanje podatkov</t>
  </si>
  <si>
    <t>IP.SO5.1.3-02A</t>
  </si>
  <si>
    <t>Informacijski sistem za shranjevanje/hranjenje in preiskovanje podatkov iz elektronskih naprav</t>
  </si>
  <si>
    <t>IP.SO5.1.4</t>
  </si>
  <si>
    <t>Krepitev boja proti terorizmu z usposabljanjem, krepitvijo zmogljivosti za terensko osebje</t>
  </si>
  <si>
    <t>IP.SO5.1.4-01</t>
  </si>
  <si>
    <t>Priprava in izvedba ukrepov za preprečevanje radikalizacije</t>
  </si>
  <si>
    <t>IP.SO5.1.4-01A</t>
  </si>
  <si>
    <t>Priprava in izvedba ukrepov za preprečevanje radikalizacije na državnem in lokalnem nivoju v sodelovanju s pristojnimi organi, vključno z nevladnimi organizacijami in zasebnim sektorjem</t>
  </si>
  <si>
    <t>IP.SO5.1.5</t>
  </si>
  <si>
    <t>Tehnična/operativna podpora za odkrivanje in preiskovanje spolnih zlorab otrok na spletu</t>
  </si>
  <si>
    <t>IP.SO5.1.5-01</t>
  </si>
  <si>
    <t>Vzpostavitev delovanja INTERPOL-ove mednarodne zbirke (ICSE DB) v Sloveniji</t>
  </si>
  <si>
    <t>IP.SO5.1.5-01A</t>
  </si>
  <si>
    <t xml:space="preserve">Vzpostavitev delovanja Interpolove mednarodne zbirke gradiv o spolnih zlorabah otrok (ICSE DB) v Sloveniji	</t>
  </si>
  <si>
    <t>IP.SO5.1.6</t>
  </si>
  <si>
    <t>Nadgradnja zmogljivosti Nacionalnega forenzičnega laboratorija za kemijske analize drog</t>
  </si>
  <si>
    <t>IP.SO5.1.6-01</t>
  </si>
  <si>
    <t>Nabava opreme za identifikacijo prepovedanih drog</t>
  </si>
  <si>
    <t>Policija - Nacionalni forenzični laboratorij</t>
  </si>
  <si>
    <t>IP.SO5.1.6-01A</t>
  </si>
  <si>
    <t>IP.SO5.1.6-02</t>
  </si>
  <si>
    <t>Nabava snovi in nadgradnja spektralnih knjižnic t.i."designer drugs" in njihovih sestavin</t>
  </si>
  <si>
    <t>Ronert Vaupotič</t>
  </si>
  <si>
    <t>IP.SO5.1.6-02A</t>
  </si>
  <si>
    <t>Nabava in redna nadgradnja spektralnih knjižnic t.i."designer drugs" in njihovih sestavin</t>
  </si>
  <si>
    <t>IP.SO5.2</t>
  </si>
  <si>
    <t>Kriminal - izmenjava informacij</t>
  </si>
  <si>
    <t>IP.SO5.2.1</t>
  </si>
  <si>
    <t>Sodelovanje/usklajevanje s članicami EU, Europolom in tretjimi državami pri operacijah</t>
  </si>
  <si>
    <t>IP.SO5.2.1-01</t>
  </si>
  <si>
    <t>Izvajanje prikritih preiskovalnih ukrepov</t>
  </si>
  <si>
    <t>IP.SO5.2.1-01A</t>
  </si>
  <si>
    <t>Izvajanje prikritih preiskovalnih ukrepov (tajno delovanje, tajno opazovanje in navidezni odkup) za odkrivanje in preiskovanje hudih in organiziranih oblik.</t>
  </si>
  <si>
    <t>IP.SO5.2.1-02</t>
  </si>
  <si>
    <t>Operativno sodelovanje z državami Zahodnega Balkana na področju organizirane kriminalitete</t>
  </si>
  <si>
    <t>IP.SO5.2.1-02A</t>
  </si>
  <si>
    <t>Krepitev operativnega sodelovanja z državami članicami EU in državami Zahodnega Balkana pri izvajanju skupnih preiskav, usmerjenih v odkrivanje in preiskovanje organiziranih kriminalnih združb na področju trgovine s prepovedanimi drogami, ljudmi, orožjem in eksplozivi, nezakonitih migracij in premoženjske kriminalitete</t>
  </si>
  <si>
    <t>IP.SO5.2.1-03</t>
  </si>
  <si>
    <t>Sodelovanje z državami Z. Balkana na področju kriminalistično obveščevalne dejavnosti</t>
  </si>
  <si>
    <t>IP.SO5.2.1-03A</t>
  </si>
  <si>
    <t>Sodelovanje z državami Zahodnega Balkana na področju kriminalistično obveščevalne dejavnosti</t>
  </si>
  <si>
    <t>IP.SO5.2.2</t>
  </si>
  <si>
    <t>Uvedba uradnika za zvezo v Rim (Italija)</t>
  </si>
  <si>
    <t>IP.SO5.2.2-01</t>
  </si>
  <si>
    <t>Napotitev uradnika za zvezo v Europol</t>
  </si>
  <si>
    <t>IP.SO5.2.2-01A</t>
  </si>
  <si>
    <t>IP.SO5.2.3</t>
  </si>
  <si>
    <t>Izmenjava kriminalističnih obveščevalnih podatkov/informacij za podporo operativi</t>
  </si>
  <si>
    <t>IP.SO5.2.3-01</t>
  </si>
  <si>
    <t>Nadgradnja strojne in programske opreme za potrebe SMPS</t>
  </si>
  <si>
    <t>IP.SO5.2.3-01A</t>
  </si>
  <si>
    <t>Nadgradnja strojne in programske opreme za potrebe mednarodnega policijskega sodelovanja</t>
  </si>
  <si>
    <t>IP.SO5.2.4</t>
  </si>
  <si>
    <t>Razvoj sistema za shranjevanje in iskanje podatkov za potrebe kriminalističnega dela</t>
  </si>
  <si>
    <t>IP.SO5.2.4-01</t>
  </si>
  <si>
    <t xml:space="preserve">Prenova statistike - KRIM </t>
  </si>
  <si>
    <t>IP.SO5.2.4-01A</t>
  </si>
  <si>
    <t>Prenova statistike - KRIM</t>
  </si>
  <si>
    <t>IP.SO5.2.4-02</t>
  </si>
  <si>
    <t>Vzpostavitev sistema za elektronsko hranjenje kazenskih ovadb</t>
  </si>
  <si>
    <t>IP.SO5.2.4-02A</t>
  </si>
  <si>
    <t>IP.SO5.2.4-03</t>
  </si>
  <si>
    <t>Zaščita tajnih podatkov policije - izvajanje Tempest meritev</t>
  </si>
  <si>
    <t>IP.SO5.2.4-03A</t>
  </si>
  <si>
    <t>Zaščita tajnih podatkov policije - izvajanje TEMPEST meritev</t>
  </si>
  <si>
    <t>IP.SO5.2.5</t>
  </si>
  <si>
    <t>Sodelovanje in pravočasna izmenjava podatkov in kriminalističnih obveščevalnih podatkov</t>
  </si>
  <si>
    <t>IP.SO5.2.5-01</t>
  </si>
  <si>
    <t>Izvajanje iniciative na področju policijskega sodelovanja v boju zoper terorizem (CTI)</t>
  </si>
  <si>
    <t>IP.SO5.2.5-01A</t>
  </si>
  <si>
    <t xml:space="preserve">Izvajanje iniciative na področju policijskega sodelovanja v boju zoper terorizem (CTI)			_x000D_
</t>
  </si>
  <si>
    <t>IP.SO5.2.6</t>
  </si>
  <si>
    <t>Sodelovanje z Evropsko mrežo inštitutov forenzičnih znanosti (ENFSI)</t>
  </si>
  <si>
    <t>IP.SO5.2.6-01</t>
  </si>
  <si>
    <t>Sodelovanje z ENFSI</t>
  </si>
  <si>
    <t>IP.SO5.2.6-01A</t>
  </si>
  <si>
    <t xml:space="preserve">Sodelovanje z ENFSI za izmenjavo informacij in forenzično obveščevalno dejavnost			_x000D_
</t>
  </si>
  <si>
    <t>IP.SO5.3</t>
  </si>
  <si>
    <t>Kriminal - usposabljanje</t>
  </si>
  <si>
    <t>IP.SO5.3.1</t>
  </si>
  <si>
    <t>Usposabljanje o mednarodnem policijskem sodelovanju in izvajanju skupnih prikritih ukrepov</t>
  </si>
  <si>
    <t>IP.SO5.3.1-01</t>
  </si>
  <si>
    <t>Pridobivanje specifičnih znanj in veščin za čezmejno tajno policijsko delovanje</t>
  </si>
  <si>
    <t>IP.SO5.3.1-01A</t>
  </si>
  <si>
    <t>Pridobivanje specifičnih znanj in veščin za potrebe čezmejnega tajnega policijskega delovanja</t>
  </si>
  <si>
    <t>IP.SO5.3.1-02</t>
  </si>
  <si>
    <t>Sodelovanje na konferencah in skupnih usposabljanjih za mobilne kriminalistične oddelke</t>
  </si>
  <si>
    <t>IP.SO5.3.1-02A</t>
  </si>
  <si>
    <t>Sodelovanje na konferencah in skupnih usposabljanjih za mobilne kriminalistične oddelke v državah EU in Zahodnega Balkana</t>
  </si>
  <si>
    <t>IP.SO5.3.1-03</t>
  </si>
  <si>
    <t>Šola varne vožnje za kriminaliste, ki izvajajo tajno opazovanje</t>
  </si>
  <si>
    <t>IP.SO5.3.1-03A</t>
  </si>
  <si>
    <t>IP.SO5.3.1-04</t>
  </si>
  <si>
    <t>Usposabljanja izvajalcev čezmejnega tajnega opazovanja</t>
  </si>
  <si>
    <t>IP.SO5.3.1-04A</t>
  </si>
  <si>
    <t>IP.SO5.3.1-05</t>
  </si>
  <si>
    <t>Sodelovanje z državami Zahodnega Balkana pri usposabljanju na področju tajnega delovanja</t>
  </si>
  <si>
    <t>IP.SO5.3.1-05A</t>
  </si>
  <si>
    <t>Sodelovanje z državami Zahodnega Balkana pri usposabljanju na področju čezmejnega tajnega policijskega delovanja</t>
  </si>
  <si>
    <t>IP.SO5.3.1-06</t>
  </si>
  <si>
    <t>Usposabljanje za uporabo sodobnih telekomunikacijskih sistemov</t>
  </si>
  <si>
    <t>IP.SO5.3.1-06A</t>
  </si>
  <si>
    <t>Usposabljanje za uporabo sodobnih telekomunikacijskih sistemov (specialne tehnike pri odkrivanju in preiskovanju čezmejne kriminalitete)</t>
  </si>
  <si>
    <t>IP.SO5.3.2</t>
  </si>
  <si>
    <t>Izboljšanje usposobljenosti preiskovalcev za odkrivanje in preiskovanje kriminala</t>
  </si>
  <si>
    <t>IP.SO5.3.2-01</t>
  </si>
  <si>
    <t>Usposabljanja za odkrivanje in preiskovanje gospodarske kriminalitete in korupcije</t>
  </si>
  <si>
    <t>IP.SO5.3.2-01A</t>
  </si>
  <si>
    <t>IP.SO5.3.2-02</t>
  </si>
  <si>
    <t>Usposabljanja za pridobivanje specifičnih strokovnih znanj pri zunanjih ustanovah</t>
  </si>
  <si>
    <t>IP.SO5.3.2-02A</t>
  </si>
  <si>
    <t>IP.SO5.3.2-03</t>
  </si>
  <si>
    <t>Kriminalistični tečaj</t>
  </si>
  <si>
    <t>IP.SO5.3.2-03A</t>
  </si>
  <si>
    <t>IP.SO5.3.3</t>
  </si>
  <si>
    <t>Usposabljanja na področju obveščevalne dejavnosti in kriminalistične analitike</t>
  </si>
  <si>
    <t>IP.SO5.3.3-01</t>
  </si>
  <si>
    <t>Usposabljanja na področju kriminalistično obveščevalne dejavnosti</t>
  </si>
  <si>
    <t>IP.SO5.3.3-01A</t>
  </si>
  <si>
    <t>Usposabljanja za kriminalistično obveščevalno analitiko in delo z informatorji in viri</t>
  </si>
  <si>
    <t>IP.SO5.3.4</t>
  </si>
  <si>
    <t>Specialistična usposabljanja za tajno delovanje</t>
  </si>
  <si>
    <t>IP.SO5.3.4-01</t>
  </si>
  <si>
    <t>Specialistična usposabljanja za tajno delovanje - kibernetska kriminaliteta</t>
  </si>
  <si>
    <t>IP.SO5.3.4-01A</t>
  </si>
  <si>
    <t>Specialistična usposabljanja za tajno delovanje pri odkrivanju in preiskovanju kibernetske kriminalitete</t>
  </si>
  <si>
    <t>IP.SO5.3.4-02</t>
  </si>
  <si>
    <t>Specialistična usposabljanja na področju digitalne forenzike</t>
  </si>
  <si>
    <t>IP.SO5.3.4-02A</t>
  </si>
  <si>
    <t>Specialistična usposabljanja na področju digitalne forenzike, spolnih zlorab otrok na spletu, zlorab plačilnih kartic in trgovine z ljudmi</t>
  </si>
  <si>
    <t>IP.SO5.3.5</t>
  </si>
  <si>
    <t xml:space="preserve">Usposabljanja za odkrivanje in preprečevanje vseh oblik nasilne radikalizacije </t>
  </si>
  <si>
    <t>IP.SO5.3.5-01</t>
  </si>
  <si>
    <t>IP.SO5.3.5-01A</t>
  </si>
  <si>
    <t>Usposabljanja za odkrivanje in preprečevanje vseh oblik nasilne radikalizacije</t>
  </si>
  <si>
    <t>IP.SO5.4</t>
  </si>
  <si>
    <t>Kriminal - podpora žrtvam</t>
  </si>
  <si>
    <t>IP.SO5.4.1</t>
  </si>
  <si>
    <t>Podpora ponovnemu vključevanju žrtev trgovine z ljudmi (krizna, varna namestitev žrtev)</t>
  </si>
  <si>
    <t>IP.SO5.4.1-01</t>
  </si>
  <si>
    <t>Oskrba žrtev trgovine z ljudmi skozi varno namestitev in (re)integracijo</t>
  </si>
  <si>
    <t>IP.SO5.4.2</t>
  </si>
  <si>
    <t>Priprava preventivnih gradiv (brošure in letaki) za zaščito in ozaveščanje žrtev</t>
  </si>
  <si>
    <t>IP.SO5.4.2-01</t>
  </si>
  <si>
    <t>Ozaveščanje žrtev kaznivih dejanj</t>
  </si>
  <si>
    <t>IP.SO5.4.2-01A</t>
  </si>
  <si>
    <t>IP.SO5.5</t>
  </si>
  <si>
    <t>Kriminal - ocena nevarnosti in tveganj</t>
  </si>
  <si>
    <t>IP.SO5.5.1</t>
  </si>
  <si>
    <t>IP.SO6</t>
  </si>
  <si>
    <t>Tveganja in krize</t>
  </si>
  <si>
    <t>IP.SO6.1</t>
  </si>
  <si>
    <t>Tveganja - preprečevanje in boj</t>
  </si>
  <si>
    <t>IP.SO6.1.1</t>
  </si>
  <si>
    <t>Priprava kakovostnih in funkcionalnih načrtov za zaščito kritične infrastrukture</t>
  </si>
  <si>
    <t>IP.SO6.1.2</t>
  </si>
  <si>
    <t>Vzpostavitev in izvajanje ukrepov za zaščito kritične infrastrukture</t>
  </si>
  <si>
    <t>IP.SO6.1.3</t>
  </si>
  <si>
    <t>Oblikovanje/razvoj sektorskih orodij/načrtov/programov za zaščito kritične infrastrukture</t>
  </si>
  <si>
    <t>IP.SO6.2</t>
  </si>
  <si>
    <t>Tveganja - izmenjava informacij</t>
  </si>
  <si>
    <t>IP.SO6.2.1</t>
  </si>
  <si>
    <t>IP.SO6.3</t>
  </si>
  <si>
    <t>Tveganja - usposabljanje</t>
  </si>
  <si>
    <t>IP.SO6.3.1</t>
  </si>
  <si>
    <t>Programi izobraževanja in usposabljanja v posameznih sektorjih kritične infrastrukture</t>
  </si>
  <si>
    <t>IP.SO6.3.1-01</t>
  </si>
  <si>
    <t>Potrebna znanja in predlog programa usposabljanja upravljavcev kritične infrastrukture</t>
  </si>
  <si>
    <t>Ministrstvo za obrambo</t>
  </si>
  <si>
    <t>IP.SO6.3.1-01A</t>
  </si>
  <si>
    <t>Potrebna znanja in predlog programa usposabljanja upravljavcev kritične infrastrukture (PROPU)</t>
  </si>
  <si>
    <t>IP.SO6.3.2</t>
  </si>
  <si>
    <t>Priprava in izvedba usposabljanj za upravljavce/lastnike kritične infrastrukture</t>
  </si>
  <si>
    <t>IP.SO6.3.3</t>
  </si>
  <si>
    <t>Delavnice o ukrepih za zaščito kritične infrastukrure, posvetovanja za razvoj teh ukrepov</t>
  </si>
  <si>
    <t>IP.SO6.3.4</t>
  </si>
  <si>
    <t>Priprava in izvedba vaj in zagotavljanje strokovnega znanja za operaterje in upravljavce</t>
  </si>
  <si>
    <t>IP.SO6.4</t>
  </si>
  <si>
    <t>Tveganja - podpora žrtvam</t>
  </si>
  <si>
    <t>IP.SO6.4.1</t>
  </si>
  <si>
    <t>Razvoj in izvajanje sistema za podporo žrtvam in upravljanje s psihosocialno pomočjo</t>
  </si>
  <si>
    <t>IP.SO6.4.1-01</t>
  </si>
  <si>
    <t>Razvoj in implementacija sistema psihosocialne pomoči po nesrečah</t>
  </si>
  <si>
    <t>Ministrstvo za obrambo - Uprava Republike Slovenije za zaščito in reševanje</t>
  </si>
  <si>
    <t>IP.SO6.4.1-01A</t>
  </si>
  <si>
    <t>Razvoj in implementacija sistema psihosocialne pomoči reševalcem in prebivalcem po nesrečah (PSYCIV)</t>
  </si>
  <si>
    <t>IP.SO6.5</t>
  </si>
  <si>
    <t>Tveganja - infrastruktura</t>
  </si>
  <si>
    <t>IP.SO6.5.1</t>
  </si>
  <si>
    <t>Posodobitev IT za podporo odločanju in zaščiti kritične informacijske infrastrukture</t>
  </si>
  <si>
    <t>IP.SO6.5.1-01</t>
  </si>
  <si>
    <t>Nadgradnja in posodobitev multimedijskega sistema NCKU - soba DOŠO</t>
  </si>
  <si>
    <t>IP.SO6.5.1-01A</t>
  </si>
  <si>
    <t>Nadgradnja in posodobitev multimedijskega sistema NCKU - soba DOŠO (MMS NCKU)</t>
  </si>
  <si>
    <t>IP.SO6.5.1-02</t>
  </si>
  <si>
    <t>Nadgradnja in posodobitev multimedijskega sistema NCKU - predsedniška soba</t>
  </si>
  <si>
    <t>IP.SO6.5.1-02A</t>
  </si>
  <si>
    <t>Posodobitev multimedijskega sistema NCKU - predsedniška in analitska soba (PAMM)</t>
  </si>
  <si>
    <t>IP.SO6.5.2</t>
  </si>
  <si>
    <t>Posodobitev štabne sobe za upravljanje in ukrepanje ob nesrečah z nabavo IKT opreme</t>
  </si>
  <si>
    <t>IP.SO6.5.2-01</t>
  </si>
  <si>
    <t>Nadgradnja in posodobitev IKT štabne sobe za upravljanje in vodenje ukrepanje ob nesrečah</t>
  </si>
  <si>
    <t>IP.SO6.5.2-01A</t>
  </si>
  <si>
    <t>Nadgradnja in posodobitev IKT štabne sobe za upravljanje in vodenje odzivov/ukrepanje ob nesrečah (COMASIR)</t>
  </si>
  <si>
    <t>IP.SO6.5.3</t>
  </si>
  <si>
    <t xml:space="preserve">Presoja o potrebnosti in primernosti redundančnih poti in lokacij </t>
  </si>
  <si>
    <t>IP.SO6.5.3-01</t>
  </si>
  <si>
    <t>Redundančne poti TK infrastrukture in povezovanje v primeru kriz</t>
  </si>
  <si>
    <t>IP.SO6.5.4</t>
  </si>
  <si>
    <t>Organizacijske in administrativne izboljšave (ustanovitev specializirane delovne skupine)</t>
  </si>
  <si>
    <t>IP.SO6.5.4-01</t>
  </si>
  <si>
    <t>Pregled in nadgradnja mehanizmov kriznega upravljanja in vodenja v RS</t>
  </si>
  <si>
    <t>IP.SO6.5.4-01A</t>
  </si>
  <si>
    <t>Pregled in nadgradnja mehanizmov kriznega upravljanja in vodenja v RS (Mehanizmi KUV)</t>
  </si>
  <si>
    <t>IP.SO6.5.5</t>
  </si>
  <si>
    <t>Ocenjevalna orodja/aplikacije, alternativni načrti, postopki za odzivanje na grožnje</t>
  </si>
  <si>
    <t>IP.SO6.5.6</t>
  </si>
  <si>
    <t>Raziskave o ukrepih za ublažitev škode v primerih onesposobitve kritične infrastrukture</t>
  </si>
  <si>
    <t>IP.SO6.6</t>
  </si>
  <si>
    <t>Tveganja - zgodnje opozarjanje in krize</t>
  </si>
  <si>
    <t>IP.SO6.6.1</t>
  </si>
  <si>
    <t>Nakup tehnične opreme in nadgradnja IT sistemov za upravljavce kritične infrastrukture</t>
  </si>
  <si>
    <t>IP.SO6.6.1-01</t>
  </si>
  <si>
    <t>Nadgradnja informacijskega sistema kriznega upravljanja</t>
  </si>
  <si>
    <t>IP.SO6.6.1-01A</t>
  </si>
  <si>
    <t>Nadgradnja informacijskega sistema kriznega upravljanja (IPKIS NCKU)</t>
  </si>
  <si>
    <t>IP.SO6.6.1-02</t>
  </si>
  <si>
    <t>Vzpostavitev sistema radijske komunikacije med subjekti KU in NCKU</t>
  </si>
  <si>
    <t>IP.SO6.6.2</t>
  </si>
  <si>
    <t>Razvoj zmogljivosti za dinamično in hitro zajetje 2D, 3D prostorskih podatkov in obdelava</t>
  </si>
  <si>
    <t>IP.SO6.6.2-01</t>
  </si>
  <si>
    <t>Razvoj zmogljivosti za vključitev geolociranih 2D in 3D podatkov v okolje 3D-GIS URSZR</t>
  </si>
  <si>
    <t>IP.SO6.6.2-01A</t>
  </si>
  <si>
    <t>Razvoj zmogljivosti za vključitev geolociranih 2D in 3D podatkov v okolje 3D-GIS URSZR (GIS-FASTLOK)</t>
  </si>
  <si>
    <t>IP.SO6.7</t>
  </si>
  <si>
    <t>Tveganja - ocena nevarnosti in tveganj</t>
  </si>
  <si>
    <t>IP.SO6.7.1</t>
  </si>
  <si>
    <t>Podpora raziskavam na področju ocene groženj/tveganj, kriznega upravljanja ter načrtovanja</t>
  </si>
  <si>
    <t>IP.SO6.7.1-01</t>
  </si>
  <si>
    <t>Nerazporejena sredstva SO6.1</t>
  </si>
  <si>
    <t>IP.SO6.7.2</t>
  </si>
  <si>
    <t>Ukrepi namenjeni dvigu kibernetske varnosti varnih omrežij za krizno upravljanje</t>
  </si>
  <si>
    <t>IP.SO6.7.2-01</t>
  </si>
  <si>
    <t>Kibernetska varnost omrežja NCKU</t>
  </si>
  <si>
    <t>IP.SO6.7.3</t>
  </si>
  <si>
    <t>Določitev mejnih točk stopenj ogroženosti za različne vrste tveganj in kriz</t>
  </si>
  <si>
    <t>IP.SO6.7.4</t>
  </si>
  <si>
    <t>Meddržavne raziskave o kriznih razmerah za izboljšanje načrtovanja, odziv in koordinacijo</t>
  </si>
  <si>
    <t>Vsi projekti</t>
  </si>
  <si>
    <t>Aktivni projekti</t>
  </si>
  <si>
    <t>Šifra</t>
  </si>
  <si>
    <t>Sklad / Posebni cilj / Nacionalni cilj / Ukrep</t>
  </si>
  <si>
    <t>Kategorija</t>
  </si>
  <si>
    <t>Finančnik</t>
  </si>
  <si>
    <t>Nosilec vsebine (prijavitelj)</t>
  </si>
  <si>
    <t>Način dodelitve</t>
  </si>
  <si>
    <t>Prispevek unije (%)</t>
  </si>
  <si>
    <t>Celoten znesek</t>
  </si>
  <si>
    <t>Prispevek EU</t>
  </si>
  <si>
    <t>SLO udeležba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</si>
  <si>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</si>
  <si>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</si>
  <si>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</si>
  <si>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</si>
  <si>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</si>
  <si>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</si>
  <si>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</si>
  <si>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</si>
  <si>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</si>
  <si>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Skupaj real.</t>
  </si>
  <si>
    <t>Skupaj real. EU</t>
  </si>
  <si>
    <t>% realizacije</t>
  </si>
  <si>
    <t>Skupaj povrnjeno</t>
  </si>
  <si>
    <t>Ostanek za povračilo</t>
  </si>
  <si>
    <t>Zaključeno</t>
  </si>
  <si>
    <t>Zap.št</t>
  </si>
  <si>
    <t>AMIF MNZ</t>
  </si>
  <si>
    <t>DUNZMN</t>
  </si>
  <si>
    <t>Razlika AMIF</t>
  </si>
  <si>
    <t>Razlika Azil</t>
  </si>
  <si>
    <t>Razlika vključevanje</t>
  </si>
  <si>
    <t>SKUPAJ MZZ</t>
  </si>
  <si>
    <t>NOV</t>
  </si>
  <si>
    <t>IP.SO5.1.1-07</t>
  </si>
  <si>
    <t>Nakup vozila za prevoz hidravličnega sistema za nasilno odpiranje protivlomnih vrat</t>
  </si>
  <si>
    <t>Datum izteka projekta</t>
  </si>
  <si>
    <t>znižana prijava</t>
  </si>
  <si>
    <t>Razlika SO5:</t>
  </si>
  <si>
    <t>Razlika SO5.1:</t>
  </si>
  <si>
    <t>Razlika SO5.2:</t>
  </si>
  <si>
    <t>Razlika SO5.3:</t>
  </si>
  <si>
    <t>PNR:</t>
  </si>
  <si>
    <t>Izmenjava informacij:</t>
  </si>
  <si>
    <t xml:space="preserve"> vključeno v zgornji seštevek</t>
  </si>
  <si>
    <t>Veljavni proračun 2017:</t>
  </si>
  <si>
    <t>Veljavni proračun 2018:</t>
  </si>
  <si>
    <t>2017 -realizacija</t>
  </si>
  <si>
    <t>2017-glede na OP</t>
  </si>
  <si>
    <t>razlika</t>
  </si>
  <si>
    <t>UOIM</t>
  </si>
  <si>
    <t>JR</t>
  </si>
  <si>
    <t>N</t>
  </si>
  <si>
    <t xml:space="preserve">EU prispevek </t>
  </si>
  <si>
    <t>Vsi 
projekti</t>
  </si>
  <si>
    <t>Nosilec vsebine</t>
  </si>
  <si>
    <t>Sklad / Posebni cilj / Vrsta ukrepa / Ukrep</t>
  </si>
  <si>
    <t>Vrsta ukrepa</t>
  </si>
  <si>
    <t>Krepitev zmogljivosti</t>
  </si>
  <si>
    <t>ISF SO1+2+3
+TA</t>
  </si>
  <si>
    <t>I.SO1</t>
  </si>
  <si>
    <t>I.SO1.1</t>
  </si>
  <si>
    <t>GEN – Izmenjava informacij</t>
  </si>
  <si>
    <t>Vzdrževanje in nadaljnji razvoj SI sistema PNR</t>
  </si>
  <si>
    <t>Nadgradnja sistema za izmenjavo Prüm podatkov</t>
  </si>
  <si>
    <t>Povečanje zmogljivosti in posodobitev podatkovnega in govornega omrežja Policije</t>
  </si>
  <si>
    <t>Posodobitev informacijske strojne in programske opreme</t>
  </si>
  <si>
    <t>GEN – Forenzika</t>
  </si>
  <si>
    <t>Povečanje nacionalnih zmogljivosti za zbiranje, analizo in izmenjavo podatkov DNK v skladu s Prümskimi sklepi</t>
  </si>
  <si>
    <t>Krepitev zmogljivosti za identifikacijo tarčnih analitov za izboljšano podporo operativnemu delu in izboljšano mednarodno sodelovanje</t>
  </si>
  <si>
    <t>I.SO1.1.29</t>
  </si>
  <si>
    <t>I.SO1.1.31</t>
  </si>
  <si>
    <t>I.SO1.1.29-01</t>
  </si>
  <si>
    <t>I.SO1.1.31-01</t>
  </si>
  <si>
    <t>I.SO1.1.31-02</t>
  </si>
  <si>
    <t>CC – Spolno izkoriščanje otrok – Pomoč žrtvam</t>
  </si>
  <si>
    <t>I.SO1.3</t>
  </si>
  <si>
    <t>I.SO1.3.26</t>
  </si>
  <si>
    <t>I.SO1.3.26-01</t>
  </si>
  <si>
    <t>I.SO2</t>
  </si>
  <si>
    <t>Čezmejno sodelovanje</t>
  </si>
  <si>
    <t>I.SO2.1</t>
  </si>
  <si>
    <t>I.SO2.1.30</t>
  </si>
  <si>
    <t>Okrepitev operativnega sodelovanja z DČ EU in ZB pri preprečevanju, odkrivanju in preiskovanju hudih in organiziranih oblik kriminalitete</t>
  </si>
  <si>
    <t>I.SO2.1.30-01</t>
  </si>
  <si>
    <t>I.SO2.1.30-02</t>
  </si>
  <si>
    <t>I.SO2.1.30-03</t>
  </si>
  <si>
    <t>Učinkovito izvajanje prikritih preiskovalnih ukrepov za preiskovanje hudih in organiziranih oblik čezmejne kriminalitete</t>
  </si>
  <si>
    <t>Posodobitev in širitev centrov za mednarodno sodelovanje (nabava opreme, posodobitev in širitev centrov za mednarodno sodelovanje kot podpora čezmejnemu operativnemu policijskemu sodelovanju)</t>
  </si>
  <si>
    <t>Sodelovanje v različnih evropskih mrežah, specializiranih mrežah in strukturah sodelovanja Unije ter centrov Unije (ENFSI; PEN-MP, ..)</t>
  </si>
  <si>
    <t>TER – Kemični, biološki, radioaktivni in jedrski materiali</t>
  </si>
  <si>
    <t>Okrepitev kapacitet in izboljšanje usposobljenosti specializiranih služb na področju terorističnih groženj s komponentno CBRN</t>
  </si>
  <si>
    <t>I.SO2.1.31</t>
  </si>
  <si>
    <t>I.SO2.1.5</t>
  </si>
  <si>
    <t>I.SO2.1.5-01</t>
  </si>
  <si>
    <t xml:space="preserve">EMPACT ISF/2022/SA/2.2.1/012 </t>
  </si>
  <si>
    <t>I.SO2.2</t>
  </si>
  <si>
    <t>I.SO2.2.29</t>
  </si>
  <si>
    <t>I.SO3</t>
  </si>
  <si>
    <t>I.SO3.1</t>
  </si>
  <si>
    <t>OC – Gospodarski in finančni kriminal</t>
  </si>
  <si>
    <t>Izboljšanje kapacitet za preiskovanje gospodarske kriminalitete ter zaščita finančnih interesov EU in Slovenije</t>
  </si>
  <si>
    <t>I.SO3.1.10</t>
  </si>
  <si>
    <t>I.SO3.1.10-01</t>
  </si>
  <si>
    <t>OC – Okoljska kriminaliteta</t>
  </si>
  <si>
    <t>Vzpostavitev nacionalnih kapacitet na področju okoljske kriminalitete</t>
  </si>
  <si>
    <t>CC – Kibernetska kriminaliteta – Olajševanje preiskav</t>
  </si>
  <si>
    <t>I.SO3.1.17</t>
  </si>
  <si>
    <t>I.SO3.1.17-01</t>
  </si>
  <si>
    <t>Izboljšanje kapacitet na področju kibernetske kriminalitete in digitalne forenzike</t>
  </si>
  <si>
    <t>I.SO3.1.29</t>
  </si>
  <si>
    <t>Obnova in nadgradnja učnih kapacitet Policijske akademije</t>
  </si>
  <si>
    <t>Usposabljanja za krepitev boja proti hudim in organiziranim oblikam kriminala in terorizma</t>
  </si>
  <si>
    <t>TER – Preprečevanje radikalizacije in boj proti njej</t>
  </si>
  <si>
    <t>Razvoj aplikacije za preprečevanje radikalizacije s področja političnega ekstramizma</t>
  </si>
  <si>
    <t>I.SO3.3.2</t>
  </si>
  <si>
    <t>I.SO3.3.2-01</t>
  </si>
  <si>
    <t>I.SO3.3.2-02</t>
  </si>
  <si>
    <t>I.SO3.1.32</t>
  </si>
  <si>
    <t>Nadaljevanje zaščite žrtev trgovine z ljudmi ter programa njihove reintegracije</t>
  </si>
  <si>
    <t>MNZ</t>
  </si>
  <si>
    <t>Razvoj in izboljšanje analitsko preiskovalnih sistemov za potrebe kazenskega pregona (OSINT)</t>
  </si>
  <si>
    <t>GIS - nadgradnja geografskih sistemov za izboljšanje operativna sposobnosti in orientacijo policije na terenu</t>
  </si>
  <si>
    <t>Okrepitev ter nadgradnja sistemov za strateško odločanje (BI): HRM</t>
  </si>
  <si>
    <t>Vzpostavitev sistema za preprečevanje in odkrivanje APT (advanced persistent threat)</t>
  </si>
  <si>
    <t>OC – Drugo</t>
  </si>
  <si>
    <t>I.SO3.1.19</t>
  </si>
  <si>
    <t>I.SO3.1.19-01</t>
  </si>
  <si>
    <t xml:space="preserve">Učinkovita zaščita prič in žvižgačev </t>
  </si>
  <si>
    <t>TER – Obvladovanje kriz</t>
  </si>
  <si>
    <t>I.SO3.1.7</t>
  </si>
  <si>
    <t>I.SO3.1.7-01</t>
  </si>
  <si>
    <t>Nadgradnja programskega informacijskega sistema za podporo odločanju (ISPO)</t>
  </si>
  <si>
    <t>I.SO3.1.7-02</t>
  </si>
  <si>
    <t>I.SO3.1.7-03</t>
  </si>
  <si>
    <t xml:space="preserve">Nadgradnja analitičnih zmogljivosti sistema NCKU za podporo odločanju subjektom kriznega upravljanja in vodenja s pomočjo umetne inteligence </t>
  </si>
  <si>
    <t>Kartografska podpora akterjem kriznega upravljanja in vodenja na operativni ravni</t>
  </si>
  <si>
    <t>MORS</t>
  </si>
  <si>
    <t>Ukrepi za zagotovitev učinkovite obrambe pred kibernetskimi napadi in možnost pregledov in pregona poskusov vdorov v informacijski sistem klica v sili 112</t>
  </si>
  <si>
    <t>TER – Drugo</t>
  </si>
  <si>
    <t>Vzpostavitev oz. dograditev zmogljivosti za obveščanje in alarmiranje prebivalstva prek mobilnih telefonov in drugih komunikacijskih kanalov</t>
  </si>
  <si>
    <t>I.SO3.1.31</t>
  </si>
  <si>
    <t>Kriminalistična tehnika v boju proti kriminalu</t>
  </si>
  <si>
    <t>TER – Zaščita in odpornost kritične infrastrukture</t>
  </si>
  <si>
    <t xml:space="preserve">Izvedba usposabljanj upravljavcev kritične infrastrukture </t>
  </si>
  <si>
    <t>I.SO2.2.29-01</t>
  </si>
  <si>
    <t>I.SO2.1.31-01</t>
  </si>
  <si>
    <t>I.SO3.1.8</t>
  </si>
  <si>
    <t>I.SO3.1.8-01</t>
  </si>
  <si>
    <t>I.SO3.1.7-04</t>
  </si>
  <si>
    <t>I.SO3.1.31-01</t>
  </si>
  <si>
    <t>I.SO3.1.29-01</t>
  </si>
  <si>
    <t>I.SO3.1.29-02</t>
  </si>
  <si>
    <t>I.SO3.1.29-03</t>
  </si>
  <si>
    <t>I.SO3.1.32-01</t>
  </si>
  <si>
    <t>I.SO3.3</t>
  </si>
  <si>
    <t>I.SO3.3.4</t>
  </si>
  <si>
    <t>I.SO3.3.4-01</t>
  </si>
  <si>
    <t>I.SO3.3.22</t>
  </si>
  <si>
    <t>I.SO3.3.22-01</t>
  </si>
  <si>
    <t>I.SO4</t>
  </si>
  <si>
    <t>I.SO1.1.29-02</t>
  </si>
  <si>
    <t>I.SO1.1.30-02</t>
  </si>
  <si>
    <t>I.SO1.1.30</t>
  </si>
  <si>
    <t>I.SO3.1.7-05</t>
  </si>
  <si>
    <t>I.SO3.1.10-02</t>
  </si>
  <si>
    <t>I.SO1.1.30-01</t>
  </si>
  <si>
    <t>I.SO3.1.30</t>
  </si>
  <si>
    <t>I.SO3.1.30-01</t>
  </si>
  <si>
    <t>I.SO3.1.19-03</t>
  </si>
  <si>
    <t>I.SO4.6</t>
  </si>
  <si>
    <t>I.SO4.6.37</t>
  </si>
  <si>
    <t>Vzpostavitev geografske podpore analitični
zmogljivosti v NCKU (GEOANALITIKA NCKU)</t>
  </si>
  <si>
    <t>I.SO3.1.7-06</t>
  </si>
  <si>
    <t>Opomba</t>
  </si>
  <si>
    <t xml:space="preserve">Krepitev  nacionalne RAN platforme ter mednarodnega sodelovanje za preprečevanje nasilne radikalizacije in terorizma </t>
  </si>
  <si>
    <t>Policija - UKP</t>
  </si>
  <si>
    <t>Pollicija - UIT</t>
  </si>
  <si>
    <t>Policija - NFL</t>
  </si>
  <si>
    <t>Policija - SE</t>
  </si>
  <si>
    <t>Policija - UUP</t>
  </si>
  <si>
    <t>Policija - PA</t>
  </si>
  <si>
    <t>Tehnična pomoč organ upravljanja</t>
  </si>
  <si>
    <t>I.SO4.6.37-01</t>
  </si>
  <si>
    <t>Tehnična pomoč (100 %)</t>
  </si>
  <si>
    <t>Ukrepi iz priloge IV (90 %)</t>
  </si>
  <si>
    <t>Ukrepi, zajeti s členom 12(1) (75 %)</t>
  </si>
  <si>
    <t>GEN – Policijsko sodelovanje ali sodelovanje med
drugimi organi (carina, mejna policija,
obveščevalne službe)</t>
  </si>
  <si>
    <t>Posebni ukrepi (90 %)</t>
  </si>
  <si>
    <t>GEN – Podpora žrtvam</t>
  </si>
  <si>
    <t>Okrepitev mednarodnega sodelovanja proti spolnemu izkoriščanju mladoletnih oseb (NCSE DB)</t>
  </si>
  <si>
    <t>ISF - Tehnična pomoč</t>
  </si>
  <si>
    <t>I.SO1.4</t>
  </si>
  <si>
    <t>Operativna podpora (100%)</t>
  </si>
  <si>
    <t>I.SO1.4.29</t>
  </si>
  <si>
    <t>I.SO1.4.29-01</t>
  </si>
  <si>
    <t>Vzdrževanje omrežnih sistemov</t>
  </si>
  <si>
    <t>I.SO1.4.30</t>
  </si>
  <si>
    <t>I.SO1.4.30-01</t>
  </si>
  <si>
    <t>I.SO1.1.30-03</t>
  </si>
  <si>
    <t>Upravljanje mobilnih naprav</t>
  </si>
  <si>
    <t>I.SO3.1.19-02</t>
  </si>
  <si>
    <t>I.SO3.1.19-04</t>
  </si>
  <si>
    <t>Varovanje notranjih meja</t>
  </si>
  <si>
    <t>MNZ-DLL</t>
  </si>
  <si>
    <t>Prostori za vodnike službenih psov</t>
  </si>
  <si>
    <t>Zagotavljanje nujno potrebne razpoložljivosti delovanja informacijsko telekomunikacijskega sistema</t>
  </si>
  <si>
    <t>I.SO3.1.19-05</t>
  </si>
  <si>
    <t>Finančne preiskave in sodelovanje z ARO/AMO</t>
  </si>
  <si>
    <t>I.SO3.1.4</t>
  </si>
  <si>
    <t>I.SO3.1.4-01</t>
  </si>
  <si>
    <t>TER –  Zaščita in odpornost kritične infrastrukture</t>
  </si>
  <si>
    <t>Protidronska zaščita</t>
  </si>
  <si>
    <t>I.SO3.1.29-04</t>
  </si>
  <si>
    <t>Sodelovanje s tretjimi državami na področju notranje varnosti</t>
  </si>
  <si>
    <t>MNZ-SEZMS</t>
  </si>
  <si>
    <t>MNZ-SPBTL</t>
  </si>
  <si>
    <t>Proračun 2026</t>
  </si>
  <si>
    <t>Razlika 2026</t>
  </si>
  <si>
    <t xml:space="preserve">EU </t>
  </si>
  <si>
    <t>slo</t>
  </si>
  <si>
    <t>Obnova, nadgradnja in izboljšanje opremljenosti obstoječih vadbenih kapacitet za posebne policijske veščine in protiteroristično vadbo Hangar Šentvid</t>
  </si>
  <si>
    <t>centralizirani</t>
  </si>
  <si>
    <t>I.SO2.1.29</t>
  </si>
  <si>
    <t>I.SO2.1.29-01</t>
  </si>
  <si>
    <t>Kadrovska in tehnična podpora enotni kontaktni točki (SPOC)</t>
  </si>
  <si>
    <t>Akcijski načrt SNV 2021 -2027  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</si>
</sst>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11" borderId="0" applyNumberFormat="0" applyBorder="0" applyAlignment="0" applyProtection="0"/>
  </cellStyleXfs>
  <cellXfs count="152">
    <xf numFmtId="0" fontId="0" fillId="0" borderId="0" xfId="0"/>
    <xf numFmtId="0" fontId="0" fillId="2" borderId="2" xfId="0" applyNumberFormat="1" applyFill="1" applyBorder="1" applyAlignment="1">
      <alignment wrapText="1"/>
    </xf>
    <xf numFmtId="0" fontId="0" fillId="2" borderId="3" xfId="0" applyNumberFormat="1" applyFill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1" xfId="0" applyBorder="1"/>
    <xf numFmtId="0" fontId="0" fillId="0" borderId="1" xfId="0" quotePrefix="1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4" borderId="1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0" fontId="0" fillId="4" borderId="0" xfId="0" applyFill="1"/>
    <xf numFmtId="0" fontId="0" fillId="5" borderId="1" xfId="0" applyFill="1" applyBorder="1"/>
    <xf numFmtId="0" fontId="0" fillId="5" borderId="1" xfId="0" applyNumberFormat="1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0" fontId="0" fillId="5" borderId="2" xfId="0" applyNumberFormat="1" applyFill="1" applyBorder="1" applyAlignment="1">
      <alignment wrapText="1"/>
    </xf>
    <xf numFmtId="0" fontId="0" fillId="5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0" xfId="0" applyFill="1"/>
    <xf numFmtId="0" fontId="0" fillId="6" borderId="1" xfId="0" applyNumberFormat="1" applyFill="1" applyBorder="1" applyAlignment="1">
      <alignment wrapText="1"/>
    </xf>
    <xf numFmtId="4" fontId="0" fillId="6" borderId="1" xfId="0" applyNumberFormat="1" applyFill="1" applyBorder="1" applyAlignment="1">
      <alignment wrapText="1"/>
    </xf>
    <xf numFmtId="0" fontId="0" fillId="7" borderId="1" xfId="0" applyFill="1" applyBorder="1"/>
    <xf numFmtId="0" fontId="0" fillId="7" borderId="1" xfId="0" applyNumberFormat="1" applyFill="1" applyBorder="1" applyAlignment="1">
      <alignment wrapText="1"/>
    </xf>
    <xf numFmtId="4" fontId="0" fillId="7" borderId="1" xfId="0" applyNumberFormat="1" applyFill="1" applyBorder="1" applyAlignment="1">
      <alignment wrapText="1"/>
    </xf>
    <xf numFmtId="0" fontId="0" fillId="7" borderId="2" xfId="0" applyNumberFormat="1" applyFill="1" applyBorder="1" applyAlignment="1">
      <alignment wrapText="1"/>
    </xf>
    <xf numFmtId="0" fontId="0" fillId="7" borderId="3" xfId="0" applyNumberFormat="1" applyFill="1" applyBorder="1" applyAlignment="1">
      <alignment wrapText="1"/>
    </xf>
    <xf numFmtId="4" fontId="3" fillId="0" borderId="0" xfId="0" applyNumberFormat="1" applyFont="1"/>
    <xf numFmtId="0" fontId="1" fillId="0" borderId="0" xfId="0" applyFont="1"/>
    <xf numFmtId="4" fontId="0" fillId="4" borderId="0" xfId="0" applyNumberFormat="1" applyFill="1"/>
    <xf numFmtId="4" fontId="3" fillId="0" borderId="1" xfId="0" applyNumberFormat="1" applyFont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14" fontId="0" fillId="4" borderId="0" xfId="0" applyNumberFormat="1" applyFill="1"/>
    <xf numFmtId="14" fontId="0" fillId="4" borderId="1" xfId="0" applyNumberForma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5" borderId="1" xfId="0" applyNumberFormat="1" applyFill="1" applyBorder="1" applyAlignment="1">
      <alignment wrapText="1"/>
    </xf>
    <xf numFmtId="14" fontId="0" fillId="6" borderId="1" xfId="0" applyNumberFormat="1" applyFill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3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3" fillId="3" borderId="1" xfId="0" applyNumberFormat="1" applyFont="1" applyFill="1" applyBorder="1" applyAlignment="1">
      <alignment wrapText="1"/>
    </xf>
    <xf numFmtId="0" fontId="3" fillId="2" borderId="2" xfId="0" applyNumberFormat="1" applyFont="1" applyFill="1" applyBorder="1" applyAlignment="1">
      <alignment wrapText="1"/>
    </xf>
    <xf numFmtId="0" fontId="3" fillId="2" borderId="3" xfId="0" applyNumberFormat="1" applyFont="1" applyFill="1" applyBorder="1" applyAlignment="1">
      <alignment wrapText="1"/>
    </xf>
    <xf numFmtId="14" fontId="3" fillId="3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wrapText="1"/>
    </xf>
    <xf numFmtId="0" fontId="3" fillId="0" borderId="3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4" fontId="1" fillId="4" borderId="1" xfId="0" applyNumberFormat="1" applyFont="1" applyFill="1" applyBorder="1" applyAlignment="1">
      <alignment wrapText="1"/>
    </xf>
    <xf numFmtId="0" fontId="4" fillId="4" borderId="0" xfId="0" applyFont="1" applyFill="1"/>
    <xf numFmtId="4" fontId="4" fillId="3" borderId="0" xfId="0" applyNumberFormat="1" applyFont="1" applyFill="1"/>
    <xf numFmtId="4" fontId="0" fillId="8" borderId="0" xfId="0" applyNumberFormat="1" applyFill="1"/>
    <xf numFmtId="4" fontId="0" fillId="3" borderId="0" xfId="0" applyNumberFormat="1" applyFill="1"/>
    <xf numFmtId="0" fontId="0" fillId="0" borderId="0" xfId="0" applyProtection="1">
      <protection locked="0"/>
    </xf>
    <xf numFmtId="0" fontId="0" fillId="0" borderId="1" xfId="0" quotePrefix="1" applyNumberFormat="1" applyBorder="1" applyAlignment="1" applyProtection="1">
      <alignment wrapText="1"/>
    </xf>
    <xf numFmtId="0" fontId="0" fillId="0" borderId="1" xfId="0" applyNumberFormat="1" applyBorder="1" applyAlignment="1" applyProtection="1">
      <alignment wrapText="1"/>
    </xf>
    <xf numFmtId="0" fontId="0" fillId="7" borderId="1" xfId="0" applyNumberFormat="1" applyFill="1" applyBorder="1" applyAlignment="1" applyProtection="1">
      <alignment wrapText="1"/>
    </xf>
    <xf numFmtId="4" fontId="0" fillId="7" borderId="1" xfId="0" applyNumberFormat="1" applyFill="1" applyBorder="1" applyAlignment="1" applyProtection="1">
      <alignment wrapText="1"/>
    </xf>
    <xf numFmtId="0" fontId="0" fillId="5" borderId="1" xfId="0" applyNumberFormat="1" applyFill="1" applyBorder="1" applyAlignment="1" applyProtection="1">
      <alignment wrapText="1"/>
    </xf>
    <xf numFmtId="4" fontId="0" fillId="5" borderId="1" xfId="0" applyNumberFormat="1" applyFill="1" applyBorder="1" applyAlignment="1" applyProtection="1">
      <alignment wrapText="1"/>
    </xf>
    <xf numFmtId="0" fontId="0" fillId="4" borderId="1" xfId="0" applyNumberFormat="1" applyFill="1" applyBorder="1" applyAlignment="1" applyProtection="1">
      <alignment wrapText="1"/>
    </xf>
    <xf numFmtId="4" fontId="0" fillId="4" borderId="1" xfId="0" applyNumberForma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wrapText="1"/>
    </xf>
    <xf numFmtId="0" fontId="0" fillId="6" borderId="1" xfId="0" applyNumberFormat="1" applyFill="1" applyBorder="1" applyAlignment="1" applyProtection="1">
      <alignment wrapText="1"/>
    </xf>
    <xf numFmtId="4" fontId="0" fillId="6" borderId="1" xfId="0" applyNumberFormat="1" applyFill="1" applyBorder="1" applyAlignment="1" applyProtection="1">
      <alignment wrapText="1"/>
    </xf>
    <xf numFmtId="0" fontId="0" fillId="3" borderId="1" xfId="0" applyNumberFormat="1" applyFill="1" applyBorder="1" applyAlignment="1" applyProtection="1">
      <alignment wrapText="1"/>
    </xf>
    <xf numFmtId="4" fontId="0" fillId="3" borderId="1" xfId="0" applyNumberFormat="1" applyFill="1" applyBorder="1" applyAlignment="1" applyProtection="1">
      <alignment wrapText="1"/>
    </xf>
    <xf numFmtId="4" fontId="0" fillId="9" borderId="1" xfId="0" applyNumberFormat="1" applyFill="1" applyBorder="1" applyAlignment="1" applyProtection="1">
      <alignment wrapText="1"/>
      <protection locked="0"/>
    </xf>
    <xf numFmtId="4" fontId="0" fillId="4" borderId="1" xfId="0" applyNumberFormat="1" applyFill="1" applyBorder="1" applyAlignment="1" applyProtection="1">
      <alignment wrapText="1"/>
      <protection locked="0"/>
    </xf>
    <xf numFmtId="0" fontId="4" fillId="0" borderId="0" xfId="0" applyFont="1"/>
    <xf numFmtId="4" fontId="4" fillId="0" borderId="0" xfId="0" applyNumberFormat="1" applyFont="1"/>
    <xf numFmtId="4" fontId="0" fillId="0" borderId="0" xfId="0" applyNumberFormat="1"/>
    <xf numFmtId="0" fontId="5" fillId="5" borderId="1" xfId="0" applyNumberFormat="1" applyFont="1" applyFill="1" applyBorder="1" applyAlignment="1" applyProtection="1">
      <alignment wrapText="1"/>
    </xf>
    <xf numFmtId="0" fontId="2" fillId="5" borderId="1" xfId="0" applyNumberFormat="1" applyFont="1" applyFill="1" applyBorder="1" applyAlignment="1" applyProtection="1">
      <alignment wrapText="1"/>
    </xf>
    <xf numFmtId="0" fontId="5" fillId="5" borderId="1" xfId="0" applyNumberFormat="1" applyFont="1" applyFill="1" applyBorder="1" applyAlignment="1">
      <alignment wrapText="1"/>
    </xf>
    <xf numFmtId="0" fontId="5" fillId="0" borderId="1" xfId="0" quotePrefix="1" applyNumberFormat="1" applyFont="1" applyBorder="1" applyAlignment="1" applyProtection="1">
      <alignment wrapText="1"/>
    </xf>
    <xf numFmtId="4" fontId="5" fillId="5" borderId="1" xfId="0" applyNumberFormat="1" applyFont="1" applyFill="1" applyBorder="1" applyAlignment="1" applyProtection="1">
      <alignment wrapText="1"/>
    </xf>
    <xf numFmtId="4" fontId="5" fillId="5" borderId="1" xfId="0" applyNumberFormat="1" applyFont="1" applyFill="1" applyBorder="1" applyAlignment="1">
      <alignment wrapText="1"/>
    </xf>
    <xf numFmtId="4" fontId="2" fillId="5" borderId="1" xfId="0" applyNumberFormat="1" applyFont="1" applyFill="1" applyBorder="1" applyAlignment="1" applyProtection="1">
      <alignment wrapText="1"/>
    </xf>
    <xf numFmtId="0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>
      <alignment wrapText="1"/>
    </xf>
    <xf numFmtId="0" fontId="6" fillId="10" borderId="1" xfId="0" applyFont="1" applyFill="1" applyBorder="1"/>
    <xf numFmtId="0" fontId="6" fillId="10" borderId="1" xfId="0" applyNumberFormat="1" applyFont="1" applyFill="1" applyBorder="1" applyAlignment="1">
      <alignment wrapText="1"/>
    </xf>
    <xf numFmtId="0" fontId="6" fillId="10" borderId="1" xfId="0" applyNumberFormat="1" applyFont="1" applyFill="1" applyBorder="1" applyAlignment="1" applyProtection="1">
      <alignment vertical="justify" wrapText="1"/>
    </xf>
    <xf numFmtId="0" fontId="5" fillId="5" borderId="1" xfId="0" applyNumberFormat="1" applyFont="1" applyFill="1" applyBorder="1" applyAlignment="1" applyProtection="1">
      <alignment vertical="justify" wrapText="1"/>
    </xf>
    <xf numFmtId="0" fontId="2" fillId="5" borderId="1" xfId="0" applyNumberFormat="1" applyFont="1" applyFill="1" applyBorder="1" applyAlignment="1" applyProtection="1">
      <alignment vertical="justify" wrapText="1"/>
    </xf>
    <xf numFmtId="0" fontId="6" fillId="10" borderId="1" xfId="0" applyNumberFormat="1" applyFont="1" applyFill="1" applyBorder="1" applyAlignment="1">
      <alignment vertical="justify" wrapText="1"/>
    </xf>
    <xf numFmtId="0" fontId="5" fillId="5" borderId="1" xfId="0" applyNumberFormat="1" applyFont="1" applyFill="1" applyBorder="1" applyAlignment="1">
      <alignment vertical="justify" wrapText="1"/>
    </xf>
    <xf numFmtId="0" fontId="5" fillId="4" borderId="1" xfId="0" applyNumberFormat="1" applyFont="1" applyFill="1" applyBorder="1" applyAlignment="1" applyProtection="1">
      <alignment wrapText="1"/>
    </xf>
    <xf numFmtId="0" fontId="5" fillId="4" borderId="1" xfId="0" applyNumberFormat="1" applyFont="1" applyFill="1" applyBorder="1" applyAlignment="1" applyProtection="1">
      <alignment vertical="justify" wrapText="1"/>
    </xf>
    <xf numFmtId="4" fontId="5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wrapText="1"/>
    </xf>
    <xf numFmtId="4" fontId="2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vertical="justify" wrapText="1"/>
    </xf>
    <xf numFmtId="0" fontId="5" fillId="4" borderId="1" xfId="0" applyNumberFormat="1" applyFont="1" applyFill="1" applyBorder="1" applyAlignment="1">
      <alignment wrapText="1"/>
    </xf>
    <xf numFmtId="0" fontId="5" fillId="4" borderId="1" xfId="0" applyNumberFormat="1" applyFont="1" applyFill="1" applyBorder="1" applyAlignment="1">
      <alignment vertical="justify" wrapText="1"/>
    </xf>
    <xf numFmtId="4" fontId="5" fillId="4" borderId="1" xfId="0" applyNumberFormat="1" applyFont="1" applyFill="1" applyBorder="1" applyAlignment="1">
      <alignment wrapText="1"/>
    </xf>
    <xf numFmtId="0" fontId="6" fillId="0" borderId="1" xfId="0" applyNumberFormat="1" applyFont="1" applyBorder="1" applyAlignment="1" applyProtection="1">
      <alignment vertical="justify" wrapText="1"/>
    </xf>
    <xf numFmtId="0" fontId="6" fillId="0" borderId="1" xfId="0" applyNumberFormat="1" applyFont="1" applyBorder="1" applyAlignment="1" applyProtection="1">
      <alignment wrapText="1"/>
    </xf>
    <xf numFmtId="0" fontId="5" fillId="0" borderId="0" xfId="0" applyFont="1" applyBorder="1"/>
    <xf numFmtId="0" fontId="5" fillId="0" borderId="0" xfId="0" applyFont="1" applyBorder="1" applyAlignment="1">
      <alignment vertical="justify"/>
    </xf>
    <xf numFmtId="4" fontId="2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>
      <alignment wrapText="1"/>
    </xf>
    <xf numFmtId="4" fontId="7" fillId="0" borderId="0" xfId="0" applyNumberFormat="1" applyFont="1" applyFill="1" applyBorder="1"/>
    <xf numFmtId="0" fontId="7" fillId="0" borderId="0" xfId="0" applyFont="1" applyFill="1" applyBorder="1"/>
    <xf numFmtId="0" fontId="6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horizontal="left" wrapText="1"/>
    </xf>
    <xf numFmtId="0" fontId="5" fillId="9" borderId="1" xfId="0" applyNumberFormat="1" applyFont="1" applyFill="1" applyBorder="1" applyAlignment="1" applyProtection="1">
      <alignment wrapText="1"/>
    </xf>
    <xf numFmtId="0" fontId="5" fillId="9" borderId="1" xfId="0" applyNumberFormat="1" applyFont="1" applyFill="1" applyBorder="1" applyAlignment="1" applyProtection="1">
      <alignment vertical="justify" wrapText="1"/>
    </xf>
    <xf numFmtId="4" fontId="5" fillId="9" borderId="1" xfId="0" applyNumberFormat="1" applyFont="1" applyFill="1" applyBorder="1" applyAlignment="1" applyProtection="1">
      <alignment wrapText="1"/>
    </xf>
    <xf numFmtId="0" fontId="5" fillId="3" borderId="1" xfId="0" applyNumberFormat="1" applyFont="1" applyFill="1" applyBorder="1" applyAlignment="1" applyProtection="1">
      <alignment vertical="justify" wrapText="1"/>
    </xf>
    <xf numFmtId="0" fontId="5" fillId="3" borderId="1" xfId="0" applyNumberFormat="1" applyFont="1" applyFill="1" applyBorder="1" applyAlignment="1" applyProtection="1">
      <alignment wrapText="1"/>
    </xf>
    <xf numFmtId="4" fontId="5" fillId="3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vertical="justify" wrapText="1"/>
    </xf>
    <xf numFmtId="0" fontId="5" fillId="0" borderId="1" xfId="0" applyNumberFormat="1" applyFont="1" applyFill="1" applyBorder="1" applyAlignment="1" applyProtection="1">
      <alignment vertical="justify" wrapText="1"/>
    </xf>
    <xf numFmtId="0" fontId="5" fillId="9" borderId="1" xfId="0" applyNumberFormat="1" applyFont="1" applyFill="1" applyBorder="1" applyAlignment="1">
      <alignment wrapText="1"/>
    </xf>
    <xf numFmtId="4" fontId="5" fillId="9" borderId="1" xfId="0" applyNumberFormat="1" applyFont="1" applyFill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 applyProtection="1">
      <alignment wrapText="1"/>
    </xf>
    <xf numFmtId="0" fontId="6" fillId="0" borderId="0" xfId="0" applyFont="1" applyBorder="1"/>
    <xf numFmtId="0" fontId="6" fillId="0" borderId="0" xfId="0" applyFont="1" applyBorder="1" applyAlignment="1">
      <alignment vertical="justify"/>
    </xf>
    <xf numFmtId="0" fontId="5" fillId="4" borderId="1" xfId="0" applyNumberFormat="1" applyFont="1" applyFill="1" applyBorder="1" applyAlignment="1">
      <alignment vertical="top" wrapText="1"/>
    </xf>
    <xf numFmtId="0" fontId="5" fillId="4" borderId="1" xfId="0" applyNumberFormat="1" applyFont="1" applyFill="1" applyBorder="1" applyAlignment="1">
      <alignment horizontal="left" vertical="top" wrapText="1"/>
    </xf>
    <xf numFmtId="4" fontId="2" fillId="4" borderId="4" xfId="0" applyNumberFormat="1" applyFont="1" applyFill="1" applyBorder="1" applyAlignment="1" applyProtection="1">
      <alignment wrapText="1"/>
    </xf>
    <xf numFmtId="4" fontId="2" fillId="4" borderId="5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>
      <alignment wrapText="1"/>
    </xf>
    <xf numFmtId="4" fontId="2" fillId="4" borderId="0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>
      <alignment vertical="justify" wrapText="1"/>
    </xf>
    <xf numFmtId="0" fontId="2" fillId="4" borderId="1" xfId="0" applyFont="1" applyFill="1" applyBorder="1" applyAlignment="1">
      <alignment wrapText="1"/>
    </xf>
    <xf numFmtId="4" fontId="0" fillId="0" borderId="0" xfId="0" applyNumberFormat="1" applyFill="1"/>
    <xf numFmtId="0" fontId="2" fillId="4" borderId="1" xfId="0" applyFont="1" applyFill="1" applyBorder="1" applyAlignment="1" applyProtection="1">
      <alignment wrapText="1"/>
      <protection locked="0"/>
    </xf>
    <xf numFmtId="4" fontId="11" fillId="0" borderId="0" xfId="0" applyNumberFormat="1" applyFont="1"/>
    <xf numFmtId="4" fontId="10" fillId="4" borderId="1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5" fillId="0" borderId="1" xfId="0" applyNumberFormat="1" applyFont="1" applyFill="1" applyBorder="1" applyAlignment="1">
      <alignment vertical="justify" wrapText="1"/>
    </xf>
    <xf numFmtId="4" fontId="2" fillId="0" borderId="1" xfId="0" applyNumberFormat="1" applyFont="1" applyFill="1" applyBorder="1" applyAlignment="1">
      <alignment wrapText="1"/>
    </xf>
    <xf numFmtId="4" fontId="2" fillId="4" borderId="1" xfId="1" applyNumberFormat="1" applyFont="1" applyFill="1" applyBorder="1" applyAlignment="1" applyProtection="1">
      <alignment wrapText="1"/>
    </xf>
    <xf numFmtId="4" fontId="0" fillId="4" borderId="1" xfId="0" applyNumberFormat="1" applyFont="1" applyFill="1" applyBorder="1" applyAlignment="1" applyProtection="1">
      <alignment wrapText="1"/>
    </xf>
  </cellXfs>
  <cellStyles count="2">
    <cellStyle name="Navadno" xfId="0" builtinId="0"/>
    <cellStyle name="Nevtralno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0</xdr:rowOff>
    </xdr:from>
    <xdr:ext cx="1152881" cy="316063"/>
    <xdr:pic>
      <xdr:nvPicPr>
        <xdr:cNvPr id="7" name="Slika 6">
          <a:extLst>
            <a:ext uri="{FF2B5EF4-FFF2-40B4-BE49-F238E27FC236}">
              <a16:creationId xmlns:a16="http://schemas.microsoft.com/office/drawing/2014/main" id="{CAFCD0E8-17B9-4D2A-8568-FA3825ECA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9192" y="0"/>
          <a:ext cx="1152881" cy="31606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U101"/>
  <sheetViews>
    <sheetView topLeftCell="A79" zoomScale="70" zoomScaleNormal="70" workbookViewId="0">
      <selection activeCell="J60" sqref="J60"/>
    </sheetView>
  </sheetViews>
  <sheetFormatPr defaultRowHeight="12.75" x14ac:dyDescent="0.2"/>
  <cols>
    <col min="1" max="1" width="9.28515625" customWidth="1"/>
    <col min="2" max="2" width="9.28515625" hidden="1" customWidth="1"/>
    <col min="4" max="4" width="30.85546875" customWidth="1"/>
    <col min="5" max="5" width="12.42578125" hidden="1" customWidth="1"/>
    <col min="6" max="6" width="0" hidden="1" customWidth="1"/>
    <col min="9" max="9" width="0" hidden="1" customWidth="1"/>
    <col min="10" max="10" width="14.85546875" bestFit="1" customWidth="1"/>
    <col min="11" max="11" width="14" customWidth="1"/>
    <col min="12" max="12" width="13.28515625" customWidth="1"/>
    <col min="13" max="13" width="11.7109375" customWidth="1"/>
    <col min="14" max="14" width="12.85546875" customWidth="1"/>
    <col min="15" max="18" width="13.28515625" bestFit="1" customWidth="1"/>
    <col min="19" max="19" width="22.28515625" customWidth="1"/>
    <col min="20" max="20" width="13.140625" bestFit="1" customWidth="1"/>
    <col min="21" max="21" width="12.42578125" bestFit="1" customWidth="1"/>
  </cols>
  <sheetData>
    <row r="1" spans="1:21" ht="38.25" x14ac:dyDescent="0.2">
      <c r="A1" s="62" t="s">
        <v>782</v>
      </c>
      <c r="B1" s="62" t="s">
        <v>783</v>
      </c>
      <c r="C1" s="62" t="s">
        <v>784</v>
      </c>
      <c r="D1" s="63" t="s">
        <v>785</v>
      </c>
      <c r="E1" s="63" t="s">
        <v>786</v>
      </c>
      <c r="F1" s="63" t="s">
        <v>787</v>
      </c>
      <c r="G1" s="63" t="s">
        <v>788</v>
      </c>
      <c r="H1" s="63" t="s">
        <v>789</v>
      </c>
      <c r="I1" s="63" t="s">
        <v>790</v>
      </c>
      <c r="J1" s="63" t="s">
        <v>791</v>
      </c>
      <c r="K1" s="63" t="s">
        <v>792</v>
      </c>
      <c r="L1" s="63" t="s">
        <v>793</v>
      </c>
      <c r="M1" s="63" t="s">
        <v>794</v>
      </c>
      <c r="N1" s="63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791</v>
      </c>
      <c r="T1" s="8" t="s">
        <v>792</v>
      </c>
    </row>
    <row r="2" spans="1:21" ht="25.5" x14ac:dyDescent="0.2">
      <c r="A2" s="64"/>
      <c r="B2" s="64"/>
      <c r="C2" s="64" t="s">
        <v>810</v>
      </c>
      <c r="D2" s="64"/>
      <c r="E2" s="64" t="s">
        <v>2</v>
      </c>
      <c r="F2" s="64"/>
      <c r="G2" s="64"/>
      <c r="H2" s="64"/>
      <c r="I2" s="64"/>
      <c r="J2" s="65">
        <f>+J4+J55</f>
        <v>12342644.003333334</v>
      </c>
      <c r="K2" s="65">
        <f>+K4+K55</f>
        <v>9256983</v>
      </c>
      <c r="L2" s="65">
        <f>+L4+L55</f>
        <v>3085661.0033333329</v>
      </c>
      <c r="M2" s="65"/>
      <c r="N2" s="65"/>
      <c r="O2" s="29"/>
      <c r="P2" s="29"/>
      <c r="Q2" s="29"/>
      <c r="R2" s="29"/>
      <c r="S2" s="32">
        <f>+J2-J3</f>
        <v>2893942.8833333328</v>
      </c>
      <c r="T2" s="32">
        <f>+K2-K3</f>
        <v>2170457.16</v>
      </c>
      <c r="U2" t="s">
        <v>812</v>
      </c>
    </row>
    <row r="3" spans="1:21" ht="25.5" x14ac:dyDescent="0.2">
      <c r="A3" s="66"/>
      <c r="B3" s="66"/>
      <c r="C3" s="66" t="s">
        <v>810</v>
      </c>
      <c r="D3" s="66"/>
      <c r="E3" s="66" t="s">
        <v>2</v>
      </c>
      <c r="F3" s="66"/>
      <c r="G3" s="66"/>
      <c r="H3" s="66"/>
      <c r="I3" s="66"/>
      <c r="J3" s="67">
        <f>+J5+J56</f>
        <v>9448701.120000001</v>
      </c>
      <c r="K3" s="67">
        <f>+K5+K56</f>
        <v>7086525.8399999999</v>
      </c>
      <c r="L3" s="67">
        <f t="shared" ref="L3:R3" si="0">+L5+L56</f>
        <v>2362175.2800000003</v>
      </c>
      <c r="M3" s="67">
        <f t="shared" si="0"/>
        <v>599345.00025000004</v>
      </c>
      <c r="N3" s="67">
        <f t="shared" si="0"/>
        <v>1981743.0334999999</v>
      </c>
      <c r="O3" s="19">
        <f t="shared" si="0"/>
        <v>2036143.2169999999</v>
      </c>
      <c r="P3" s="19">
        <f t="shared" si="0"/>
        <v>1623760.53</v>
      </c>
      <c r="Q3" s="19">
        <f t="shared" si="0"/>
        <v>1569760.33</v>
      </c>
      <c r="R3" s="19">
        <f t="shared" si="0"/>
        <v>1637949.0047499998</v>
      </c>
    </row>
    <row r="4" spans="1:21" x14ac:dyDescent="0.2">
      <c r="A4" s="64"/>
      <c r="B4" s="64"/>
      <c r="C4" s="64" t="s">
        <v>0</v>
      </c>
      <c r="D4" s="64" t="s">
        <v>1</v>
      </c>
      <c r="E4" s="64" t="s">
        <v>2</v>
      </c>
      <c r="F4" s="64"/>
      <c r="G4" s="64"/>
      <c r="H4" s="64"/>
      <c r="I4" s="64">
        <v>76.11</v>
      </c>
      <c r="J4" s="65">
        <f t="shared" ref="J4:L5" si="1">+J6+J46+J51</f>
        <v>4305192</v>
      </c>
      <c r="K4" s="65">
        <f t="shared" si="1"/>
        <v>3228894</v>
      </c>
      <c r="L4" s="65">
        <f t="shared" si="1"/>
        <v>1076298</v>
      </c>
      <c r="M4" s="65"/>
      <c r="N4" s="65"/>
      <c r="O4" s="29"/>
      <c r="P4" s="29"/>
      <c r="Q4" s="29"/>
      <c r="R4" s="29"/>
      <c r="S4" s="32">
        <f>+J4-J5</f>
        <v>1157828.5299999998</v>
      </c>
      <c r="T4" s="32">
        <f>+K4-K5</f>
        <v>868371.39749999996</v>
      </c>
      <c r="U4" t="s">
        <v>813</v>
      </c>
    </row>
    <row r="5" spans="1:21" x14ac:dyDescent="0.2">
      <c r="A5" s="66"/>
      <c r="B5" s="66"/>
      <c r="C5" s="66" t="s">
        <v>0</v>
      </c>
      <c r="D5" s="66" t="s">
        <v>1</v>
      </c>
      <c r="E5" s="66" t="s">
        <v>2</v>
      </c>
      <c r="F5" s="66"/>
      <c r="G5" s="66"/>
      <c r="H5" s="66"/>
      <c r="I5" s="66">
        <v>76.11</v>
      </c>
      <c r="J5" s="67">
        <f t="shared" si="1"/>
        <v>3147363.47</v>
      </c>
      <c r="K5" s="67">
        <f t="shared" si="1"/>
        <v>2360522.6025</v>
      </c>
      <c r="L5" s="67">
        <f t="shared" si="1"/>
        <v>786840.86750000005</v>
      </c>
      <c r="M5" s="67">
        <f t="shared" ref="M5:R5" si="2">+M7+M47+M52</f>
        <v>283741.80025000003</v>
      </c>
      <c r="N5" s="67">
        <f t="shared" si="2"/>
        <v>576244.63349999988</v>
      </c>
      <c r="O5" s="19">
        <f t="shared" si="2"/>
        <v>804139.21699999995</v>
      </c>
      <c r="P5" s="19">
        <f t="shared" si="2"/>
        <v>515374.46</v>
      </c>
      <c r="Q5" s="19">
        <f t="shared" si="2"/>
        <v>500000</v>
      </c>
      <c r="R5" s="19">
        <f t="shared" si="2"/>
        <v>467863.35475000006</v>
      </c>
    </row>
    <row r="6" spans="1:21" x14ac:dyDescent="0.2">
      <c r="A6" s="64"/>
      <c r="B6" s="64"/>
      <c r="C6" s="64" t="s">
        <v>3</v>
      </c>
      <c r="D6" s="64" t="s">
        <v>4</v>
      </c>
      <c r="E6" s="64" t="s">
        <v>5</v>
      </c>
      <c r="F6" s="64"/>
      <c r="G6" s="64"/>
      <c r="H6" s="64"/>
      <c r="I6" s="64">
        <v>75</v>
      </c>
      <c r="J6" s="65">
        <v>4046880</v>
      </c>
      <c r="K6" s="65">
        <v>3035160</v>
      </c>
      <c r="L6" s="65">
        <v>1011720</v>
      </c>
      <c r="M6" s="65"/>
      <c r="N6" s="65"/>
      <c r="O6" s="29"/>
      <c r="P6" s="29"/>
      <c r="Q6" s="29"/>
      <c r="R6" s="29"/>
    </row>
    <row r="7" spans="1:21" x14ac:dyDescent="0.2">
      <c r="A7" s="66"/>
      <c r="B7" s="66"/>
      <c r="C7" s="66" t="s">
        <v>3</v>
      </c>
      <c r="D7" s="66" t="s">
        <v>4</v>
      </c>
      <c r="E7" s="66" t="s">
        <v>5</v>
      </c>
      <c r="F7" s="66"/>
      <c r="G7" s="66"/>
      <c r="H7" s="66"/>
      <c r="I7" s="66">
        <v>75</v>
      </c>
      <c r="J7" s="67">
        <f>+J8+J25+J28+J29+J34+J35+J40+J43</f>
        <v>3147363.47</v>
      </c>
      <c r="K7" s="67">
        <f t="shared" ref="K7:R7" si="3">+K8+K25+K28+K29+K34+K35+K40+K43</f>
        <v>2360522.6025</v>
      </c>
      <c r="L7" s="67">
        <f t="shared" si="3"/>
        <v>786840.86750000005</v>
      </c>
      <c r="M7" s="67">
        <f t="shared" si="3"/>
        <v>283741.80025000003</v>
      </c>
      <c r="N7" s="67">
        <f t="shared" si="3"/>
        <v>576244.63349999988</v>
      </c>
      <c r="O7" s="19">
        <f t="shared" si="3"/>
        <v>804139.21699999995</v>
      </c>
      <c r="P7" s="19">
        <f t="shared" si="3"/>
        <v>515374.46</v>
      </c>
      <c r="Q7" s="19">
        <f t="shared" si="3"/>
        <v>500000</v>
      </c>
      <c r="R7" s="19">
        <f t="shared" si="3"/>
        <v>467863.35475000006</v>
      </c>
    </row>
    <row r="8" spans="1:21" ht="25.5" x14ac:dyDescent="0.2">
      <c r="A8" s="66"/>
      <c r="B8" s="66"/>
      <c r="C8" s="66" t="s">
        <v>6</v>
      </c>
      <c r="D8" s="66" t="s">
        <v>7</v>
      </c>
      <c r="E8" s="66" t="s">
        <v>8</v>
      </c>
      <c r="F8" s="66"/>
      <c r="G8" s="66"/>
      <c r="H8" s="66"/>
      <c r="I8" s="66">
        <v>75</v>
      </c>
      <c r="J8" s="67">
        <f>+J9+J11+J13+J15+J17+J19+J21+J23</f>
        <v>2586000</v>
      </c>
      <c r="K8" s="67">
        <f t="shared" ref="K8:R8" si="4">+K9+K11+K13+K15+K17+K19+K21+K23</f>
        <v>1939500</v>
      </c>
      <c r="L8" s="67">
        <f t="shared" si="4"/>
        <v>646500</v>
      </c>
      <c r="M8" s="67">
        <f t="shared" si="4"/>
        <v>235468.00025000001</v>
      </c>
      <c r="N8" s="67">
        <f t="shared" si="4"/>
        <v>417786.55349999992</v>
      </c>
      <c r="O8" s="19">
        <f t="shared" si="4"/>
        <v>525096.26699999999</v>
      </c>
      <c r="P8" s="19">
        <f t="shared" si="4"/>
        <v>473000</v>
      </c>
      <c r="Q8" s="19">
        <f t="shared" si="4"/>
        <v>484000</v>
      </c>
      <c r="R8" s="19">
        <f t="shared" si="4"/>
        <v>450649.17475000006</v>
      </c>
      <c r="S8" s="78" t="s">
        <v>828</v>
      </c>
      <c r="T8" s="78"/>
      <c r="U8" s="79">
        <f>1747326+556743</f>
        <v>2304069</v>
      </c>
    </row>
    <row r="9" spans="1:21" s="61" customFormat="1" ht="38.25" x14ac:dyDescent="0.2">
      <c r="A9" s="74">
        <v>1</v>
      </c>
      <c r="B9" s="74">
        <v>1</v>
      </c>
      <c r="C9" s="74" t="s">
        <v>9</v>
      </c>
      <c r="D9" s="74" t="s">
        <v>10</v>
      </c>
      <c r="E9" s="74" t="s">
        <v>11</v>
      </c>
      <c r="F9" s="74" t="s">
        <v>12</v>
      </c>
      <c r="G9" s="74" t="s">
        <v>811</v>
      </c>
      <c r="H9" s="74" t="s">
        <v>13</v>
      </c>
      <c r="I9" s="74">
        <v>75</v>
      </c>
      <c r="J9" s="75">
        <f>+M9+N9+O9+P9+Q9+R9</f>
        <v>480000</v>
      </c>
      <c r="K9" s="75">
        <f>0.75*J9</f>
        <v>360000</v>
      </c>
      <c r="L9" s="75">
        <f>+J9-K9</f>
        <v>120000</v>
      </c>
      <c r="M9" s="75">
        <v>66983.58</v>
      </c>
      <c r="N9" s="75">
        <v>16404.349999999999</v>
      </c>
      <c r="O9" s="76">
        <v>100000</v>
      </c>
      <c r="P9" s="76">
        <v>100000</v>
      </c>
      <c r="Q9" s="76">
        <v>100000</v>
      </c>
      <c r="R9" s="76">
        <v>96612.07</v>
      </c>
      <c r="S9" s="78" t="s">
        <v>829</v>
      </c>
      <c r="U9" s="79">
        <f>2009471+1012452</f>
        <v>3021923</v>
      </c>
    </row>
    <row r="10" spans="1:21" ht="38.25" x14ac:dyDescent="0.2">
      <c r="A10" s="68"/>
      <c r="B10" s="68">
        <v>1</v>
      </c>
      <c r="C10" s="68" t="s">
        <v>14</v>
      </c>
      <c r="D10" s="68" t="s">
        <v>10</v>
      </c>
      <c r="E10" s="68" t="s">
        <v>15</v>
      </c>
      <c r="F10" s="68"/>
      <c r="G10" s="68"/>
      <c r="H10" s="68"/>
      <c r="I10" s="68">
        <v>75</v>
      </c>
      <c r="J10" s="69">
        <v>223278.61</v>
      </c>
      <c r="K10" s="69">
        <v>167458.95000000001</v>
      </c>
      <c r="L10" s="69">
        <v>55819.66</v>
      </c>
      <c r="M10" s="69">
        <v>66983.58</v>
      </c>
      <c r="N10" s="69">
        <v>16404.349999999999</v>
      </c>
      <c r="O10" s="15">
        <v>100000</v>
      </c>
      <c r="P10" s="15">
        <v>39890.68</v>
      </c>
      <c r="Q10" s="15"/>
      <c r="R10" s="15"/>
    </row>
    <row r="11" spans="1:21" s="61" customFormat="1" ht="38.25" x14ac:dyDescent="0.2">
      <c r="A11" s="74">
        <v>2</v>
      </c>
      <c r="B11" s="74">
        <v>2</v>
      </c>
      <c r="C11" s="74" t="s">
        <v>16</v>
      </c>
      <c r="D11" s="74" t="s">
        <v>17</v>
      </c>
      <c r="E11" s="74" t="s">
        <v>11</v>
      </c>
      <c r="F11" s="74" t="s">
        <v>12</v>
      </c>
      <c r="G11" s="74" t="s">
        <v>811</v>
      </c>
      <c r="H11" s="74" t="s">
        <v>18</v>
      </c>
      <c r="I11" s="74">
        <v>75</v>
      </c>
      <c r="J11" s="75">
        <v>205000</v>
      </c>
      <c r="K11" s="75">
        <f>0.75*J11</f>
        <v>153750</v>
      </c>
      <c r="L11" s="75">
        <f>+J11-K11</f>
        <v>51250</v>
      </c>
      <c r="M11" s="75">
        <v>30317.698249999998</v>
      </c>
      <c r="N11" s="75">
        <v>35191.017249999997</v>
      </c>
      <c r="O11" s="76">
        <v>34491.279999999999</v>
      </c>
      <c r="P11" s="76">
        <v>35000</v>
      </c>
      <c r="Q11" s="76">
        <v>35000</v>
      </c>
      <c r="R11" s="76">
        <v>35000</v>
      </c>
    </row>
    <row r="12" spans="1:21" ht="51" x14ac:dyDescent="0.2">
      <c r="A12" s="68"/>
      <c r="B12" s="68">
        <v>2</v>
      </c>
      <c r="C12" s="68" t="s">
        <v>19</v>
      </c>
      <c r="D12" s="68" t="s">
        <v>20</v>
      </c>
      <c r="E12" s="68" t="s">
        <v>15</v>
      </c>
      <c r="F12" s="68"/>
      <c r="G12" s="68"/>
      <c r="H12" s="68"/>
      <c r="I12" s="68">
        <v>75</v>
      </c>
      <c r="J12" s="69">
        <v>100000</v>
      </c>
      <c r="K12" s="69">
        <v>75000</v>
      </c>
      <c r="L12" s="69">
        <v>25000</v>
      </c>
      <c r="M12" s="69">
        <v>30317.698249999998</v>
      </c>
      <c r="N12" s="69">
        <v>35191.017249999997</v>
      </c>
      <c r="O12" s="15">
        <v>34491.284500000002</v>
      </c>
      <c r="P12" s="15"/>
      <c r="Q12" s="15"/>
      <c r="R12" s="15"/>
    </row>
    <row r="13" spans="1:21" s="61" customFormat="1" ht="38.25" x14ac:dyDescent="0.2">
      <c r="A13" s="74">
        <v>3</v>
      </c>
      <c r="B13" s="74">
        <v>3</v>
      </c>
      <c r="C13" s="74" t="s">
        <v>21</v>
      </c>
      <c r="D13" s="74" t="s">
        <v>22</v>
      </c>
      <c r="E13" s="74" t="s">
        <v>11</v>
      </c>
      <c r="F13" s="74" t="s">
        <v>23</v>
      </c>
      <c r="G13" s="74" t="s">
        <v>811</v>
      </c>
      <c r="H13" s="74" t="s">
        <v>18</v>
      </c>
      <c r="I13" s="74">
        <v>75</v>
      </c>
      <c r="J13" s="75">
        <v>850000</v>
      </c>
      <c r="K13" s="75">
        <f>0.75*J13</f>
        <v>637500</v>
      </c>
      <c r="L13" s="75">
        <f>+J13-K13</f>
        <v>212500</v>
      </c>
      <c r="M13" s="75">
        <v>48948.8995</v>
      </c>
      <c r="N13" s="75">
        <v>236513.55574999997</v>
      </c>
      <c r="O13" s="76">
        <v>150000</v>
      </c>
      <c r="P13" s="76">
        <v>150000</v>
      </c>
      <c r="Q13" s="76">
        <v>150000</v>
      </c>
      <c r="R13" s="76">
        <v>114537.54475</v>
      </c>
    </row>
    <row r="14" spans="1:21" ht="25.5" x14ac:dyDescent="0.2">
      <c r="A14" s="68"/>
      <c r="B14" s="68">
        <v>3</v>
      </c>
      <c r="C14" s="68" t="s">
        <v>24</v>
      </c>
      <c r="D14" s="68" t="s">
        <v>25</v>
      </c>
      <c r="E14" s="68" t="s">
        <v>15</v>
      </c>
      <c r="F14" s="68"/>
      <c r="G14" s="68"/>
      <c r="H14" s="68"/>
      <c r="I14" s="68">
        <v>75</v>
      </c>
      <c r="J14" s="69">
        <v>400000</v>
      </c>
      <c r="K14" s="69">
        <v>300000</v>
      </c>
      <c r="L14" s="69">
        <v>100000</v>
      </c>
      <c r="M14" s="69">
        <v>48948.8995</v>
      </c>
      <c r="N14" s="69">
        <v>236513.55574999997</v>
      </c>
      <c r="O14" s="15">
        <v>114537.54475000003</v>
      </c>
      <c r="P14" s="15"/>
      <c r="Q14" s="15"/>
      <c r="R14" s="15"/>
    </row>
    <row r="15" spans="1:21" s="61" customFormat="1" ht="38.25" x14ac:dyDescent="0.2">
      <c r="A15" s="74">
        <v>4</v>
      </c>
      <c r="B15" s="74">
        <v>4</v>
      </c>
      <c r="C15" s="74" t="s">
        <v>26</v>
      </c>
      <c r="D15" s="74" t="s">
        <v>27</v>
      </c>
      <c r="E15" s="74" t="s">
        <v>11</v>
      </c>
      <c r="F15" s="74" t="s">
        <v>28</v>
      </c>
      <c r="G15" s="74" t="s">
        <v>811</v>
      </c>
      <c r="H15" s="74" t="s">
        <v>18</v>
      </c>
      <c r="I15" s="74">
        <v>75</v>
      </c>
      <c r="J15" s="75">
        <v>220000</v>
      </c>
      <c r="K15" s="75">
        <f>0.75*J15</f>
        <v>165000</v>
      </c>
      <c r="L15" s="75">
        <f>+J15-K15</f>
        <v>55000</v>
      </c>
      <c r="M15" s="75">
        <v>6721.2224999999999</v>
      </c>
      <c r="N15" s="75">
        <v>43513.570499999994</v>
      </c>
      <c r="O15" s="76">
        <v>49765.207000000002</v>
      </c>
      <c r="P15" s="76">
        <v>40000</v>
      </c>
      <c r="Q15" s="76">
        <v>40000</v>
      </c>
      <c r="R15" s="76">
        <v>40000</v>
      </c>
    </row>
    <row r="16" spans="1:21" ht="25.5" x14ac:dyDescent="0.2">
      <c r="A16" s="68"/>
      <c r="B16" s="68">
        <v>4</v>
      </c>
      <c r="C16" s="68" t="s">
        <v>29</v>
      </c>
      <c r="D16" s="68" t="s">
        <v>27</v>
      </c>
      <c r="E16" s="68" t="s">
        <v>15</v>
      </c>
      <c r="F16" s="68"/>
      <c r="G16" s="68"/>
      <c r="H16" s="68"/>
      <c r="I16" s="68">
        <v>75</v>
      </c>
      <c r="J16" s="69">
        <v>100000</v>
      </c>
      <c r="K16" s="69">
        <v>75000</v>
      </c>
      <c r="L16" s="69">
        <v>25000</v>
      </c>
      <c r="M16" s="69">
        <v>6721.2224999999999</v>
      </c>
      <c r="N16" s="69">
        <v>43513.570499999994</v>
      </c>
      <c r="O16" s="15">
        <v>49765.207000000002</v>
      </c>
      <c r="P16" s="15"/>
      <c r="Q16" s="15"/>
      <c r="R16" s="15"/>
    </row>
    <row r="17" spans="1:18" s="61" customFormat="1" ht="25.5" x14ac:dyDescent="0.2">
      <c r="A17" s="74">
        <v>5</v>
      </c>
      <c r="B17" s="74">
        <v>5</v>
      </c>
      <c r="C17" s="74" t="s">
        <v>30</v>
      </c>
      <c r="D17" s="74" t="s">
        <v>31</v>
      </c>
      <c r="E17" s="74" t="s">
        <v>11</v>
      </c>
      <c r="F17" s="74" t="s">
        <v>12</v>
      </c>
      <c r="G17" s="74" t="s">
        <v>811</v>
      </c>
      <c r="H17" s="74" t="s">
        <v>13</v>
      </c>
      <c r="I17" s="74">
        <v>75</v>
      </c>
      <c r="J17" s="75">
        <v>400000</v>
      </c>
      <c r="K17" s="75">
        <f>0.75*J17</f>
        <v>300000</v>
      </c>
      <c r="L17" s="75">
        <f>+J17-K17</f>
        <v>100000</v>
      </c>
      <c r="M17" s="75">
        <v>46645.62</v>
      </c>
      <c r="N17" s="75">
        <v>0</v>
      </c>
      <c r="O17" s="76">
        <v>108839.78</v>
      </c>
      <c r="P17" s="76">
        <v>80000</v>
      </c>
      <c r="Q17" s="76">
        <v>80000</v>
      </c>
      <c r="R17" s="76">
        <v>84514.6</v>
      </c>
    </row>
    <row r="18" spans="1:18" ht="38.25" x14ac:dyDescent="0.2">
      <c r="A18" s="68"/>
      <c r="B18" s="68">
        <v>5</v>
      </c>
      <c r="C18" s="68" t="s">
        <v>32</v>
      </c>
      <c r="D18" s="68" t="s">
        <v>33</v>
      </c>
      <c r="E18" s="68" t="s">
        <v>15</v>
      </c>
      <c r="F18" s="68"/>
      <c r="G18" s="68"/>
      <c r="H18" s="68"/>
      <c r="I18" s="68">
        <v>75</v>
      </c>
      <c r="J18" s="69">
        <v>155485.4</v>
      </c>
      <c r="K18" s="69">
        <v>116614.05</v>
      </c>
      <c r="L18" s="69">
        <v>38871.35</v>
      </c>
      <c r="M18" s="69">
        <v>46645.62</v>
      </c>
      <c r="N18" s="69">
        <v>0</v>
      </c>
      <c r="O18" s="15">
        <v>108839.78</v>
      </c>
      <c r="P18" s="15"/>
      <c r="Q18" s="15"/>
      <c r="R18" s="15"/>
    </row>
    <row r="19" spans="1:18" s="61" customFormat="1" ht="38.25" x14ac:dyDescent="0.2">
      <c r="A19" s="74">
        <v>6</v>
      </c>
      <c r="B19" s="74">
        <v>6</v>
      </c>
      <c r="C19" s="74" t="s">
        <v>34</v>
      </c>
      <c r="D19" s="74" t="s">
        <v>35</v>
      </c>
      <c r="E19" s="74" t="s">
        <v>11</v>
      </c>
      <c r="F19" s="74" t="s">
        <v>36</v>
      </c>
      <c r="G19" s="74" t="s">
        <v>811</v>
      </c>
      <c r="H19" s="74" t="s">
        <v>18</v>
      </c>
      <c r="I19" s="74">
        <v>75</v>
      </c>
      <c r="J19" s="75">
        <v>105000</v>
      </c>
      <c r="K19" s="75">
        <f>0.75*J19</f>
        <v>78750</v>
      </c>
      <c r="L19" s="75">
        <f>+J19-K19</f>
        <v>26250</v>
      </c>
      <c r="M19" s="75">
        <v>4721.5600000000004</v>
      </c>
      <c r="N19" s="75">
        <v>20278.439999999999</v>
      </c>
      <c r="O19" s="76">
        <v>20000</v>
      </c>
      <c r="P19" s="76">
        <v>20000</v>
      </c>
      <c r="Q19" s="76">
        <v>20000</v>
      </c>
      <c r="R19" s="76">
        <v>20000</v>
      </c>
    </row>
    <row r="20" spans="1:18" ht="51" x14ac:dyDescent="0.2">
      <c r="A20" s="68"/>
      <c r="B20" s="68">
        <v>6</v>
      </c>
      <c r="C20" s="68" t="s">
        <v>37</v>
      </c>
      <c r="D20" s="68" t="s">
        <v>38</v>
      </c>
      <c r="E20" s="68" t="s">
        <v>15</v>
      </c>
      <c r="F20" s="68"/>
      <c r="G20" s="68"/>
      <c r="H20" s="68"/>
      <c r="I20" s="68">
        <v>75</v>
      </c>
      <c r="J20" s="69">
        <v>25000</v>
      </c>
      <c r="K20" s="69">
        <v>18750</v>
      </c>
      <c r="L20" s="69">
        <v>6250</v>
      </c>
      <c r="M20" s="69">
        <v>4721.5600000000004</v>
      </c>
      <c r="N20" s="69">
        <v>20278.439999999999</v>
      </c>
      <c r="O20" s="15"/>
      <c r="P20" s="15"/>
      <c r="Q20" s="15"/>
      <c r="R20" s="15"/>
    </row>
    <row r="21" spans="1:18" s="61" customFormat="1" ht="25.5" x14ac:dyDescent="0.2">
      <c r="A21" s="74">
        <v>7</v>
      </c>
      <c r="B21" s="74">
        <v>7</v>
      </c>
      <c r="C21" s="74" t="s">
        <v>39</v>
      </c>
      <c r="D21" s="74" t="s">
        <v>40</v>
      </c>
      <c r="E21" s="74" t="s">
        <v>11</v>
      </c>
      <c r="F21" s="74" t="s">
        <v>36</v>
      </c>
      <c r="G21" s="74" t="s">
        <v>811</v>
      </c>
      <c r="H21" s="74" t="s">
        <v>13</v>
      </c>
      <c r="I21" s="74">
        <v>75</v>
      </c>
      <c r="J21" s="75">
        <v>105000</v>
      </c>
      <c r="K21" s="75">
        <f>0.75*J21</f>
        <v>78750</v>
      </c>
      <c r="L21" s="75">
        <f>+J21-K21</f>
        <v>26250</v>
      </c>
      <c r="M21" s="75">
        <v>6812.92</v>
      </c>
      <c r="N21" s="75">
        <v>16715.62</v>
      </c>
      <c r="O21" s="76">
        <v>25000</v>
      </c>
      <c r="P21" s="76">
        <v>11000</v>
      </c>
      <c r="Q21" s="76">
        <v>22000</v>
      </c>
      <c r="R21" s="76">
        <v>23471.46</v>
      </c>
    </row>
    <row r="22" spans="1:18" ht="25.5" x14ac:dyDescent="0.2">
      <c r="A22" s="68"/>
      <c r="B22" s="68">
        <v>7</v>
      </c>
      <c r="C22" s="68" t="s">
        <v>41</v>
      </c>
      <c r="D22" s="68" t="s">
        <v>40</v>
      </c>
      <c r="E22" s="68" t="s">
        <v>15</v>
      </c>
      <c r="F22" s="68"/>
      <c r="G22" s="68"/>
      <c r="H22" s="68"/>
      <c r="I22" s="68">
        <v>75</v>
      </c>
      <c r="J22" s="69">
        <v>57079.360000000001</v>
      </c>
      <c r="K22" s="69">
        <v>42809.52</v>
      </c>
      <c r="L22" s="69">
        <v>14269.84</v>
      </c>
      <c r="M22" s="69">
        <v>6812.92</v>
      </c>
      <c r="N22" s="69">
        <v>16715.62</v>
      </c>
      <c r="O22" s="15">
        <v>22000</v>
      </c>
      <c r="P22" s="15">
        <v>11550.82</v>
      </c>
      <c r="Q22" s="15"/>
      <c r="R22" s="15"/>
    </row>
    <row r="23" spans="1:18" s="61" customFormat="1" ht="38.25" x14ac:dyDescent="0.2">
      <c r="A23" s="74">
        <v>8</v>
      </c>
      <c r="B23" s="74">
        <v>8</v>
      </c>
      <c r="C23" s="74" t="s">
        <v>42</v>
      </c>
      <c r="D23" s="74" t="s">
        <v>43</v>
      </c>
      <c r="E23" s="74" t="s">
        <v>11</v>
      </c>
      <c r="F23" s="74" t="s">
        <v>12</v>
      </c>
      <c r="G23" s="74" t="s">
        <v>811</v>
      </c>
      <c r="H23" s="74" t="s">
        <v>18</v>
      </c>
      <c r="I23" s="74">
        <v>75</v>
      </c>
      <c r="J23" s="75">
        <v>221000</v>
      </c>
      <c r="K23" s="75">
        <f>0.75*J23</f>
        <v>165750</v>
      </c>
      <c r="L23" s="75">
        <f>+J23-K23</f>
        <v>55250</v>
      </c>
      <c r="M23" s="75">
        <v>24316.5</v>
      </c>
      <c r="N23" s="75">
        <v>49170</v>
      </c>
      <c r="O23" s="76">
        <v>37000</v>
      </c>
      <c r="P23" s="76">
        <v>37000</v>
      </c>
      <c r="Q23" s="76">
        <v>37000</v>
      </c>
      <c r="R23" s="76">
        <v>36513.5</v>
      </c>
    </row>
    <row r="24" spans="1:18" ht="38.25" x14ac:dyDescent="0.2">
      <c r="A24" s="68"/>
      <c r="B24" s="68">
        <v>8</v>
      </c>
      <c r="C24" s="68" t="s">
        <v>44</v>
      </c>
      <c r="D24" s="68" t="s">
        <v>43</v>
      </c>
      <c r="E24" s="68" t="s">
        <v>15</v>
      </c>
      <c r="F24" s="68"/>
      <c r="G24" s="68"/>
      <c r="H24" s="68"/>
      <c r="I24" s="68">
        <v>75</v>
      </c>
      <c r="J24" s="69">
        <v>100000</v>
      </c>
      <c r="K24" s="69">
        <v>75000</v>
      </c>
      <c r="L24" s="69">
        <v>25000</v>
      </c>
      <c r="M24" s="69">
        <v>24316.5</v>
      </c>
      <c r="N24" s="69">
        <v>49170</v>
      </c>
      <c r="O24" s="15">
        <v>26513.5</v>
      </c>
      <c r="P24" s="15"/>
      <c r="Q24" s="15"/>
      <c r="R24" s="15"/>
    </row>
    <row r="25" spans="1:18" ht="38.25" x14ac:dyDescent="0.2">
      <c r="A25" s="66"/>
      <c r="B25" s="66"/>
      <c r="C25" s="66" t="s">
        <v>45</v>
      </c>
      <c r="D25" s="66" t="s">
        <v>46</v>
      </c>
      <c r="E25" s="66" t="s">
        <v>8</v>
      </c>
      <c r="F25" s="66"/>
      <c r="G25" s="66"/>
      <c r="H25" s="66"/>
      <c r="I25" s="66">
        <v>75</v>
      </c>
      <c r="J25" s="67">
        <f>+J26</f>
        <v>50000</v>
      </c>
      <c r="K25" s="67">
        <f t="shared" ref="K25:R25" si="5">+K26</f>
        <v>37500</v>
      </c>
      <c r="L25" s="67">
        <f t="shared" si="5"/>
        <v>12500</v>
      </c>
      <c r="M25" s="67">
        <f t="shared" si="5"/>
        <v>0</v>
      </c>
      <c r="N25" s="67">
        <f t="shared" si="5"/>
        <v>5384.29</v>
      </c>
      <c r="O25" s="19">
        <f t="shared" si="5"/>
        <v>14615.71</v>
      </c>
      <c r="P25" s="19">
        <f t="shared" si="5"/>
        <v>10000</v>
      </c>
      <c r="Q25" s="19">
        <f t="shared" si="5"/>
        <v>10000</v>
      </c>
      <c r="R25" s="19">
        <f t="shared" si="5"/>
        <v>10000</v>
      </c>
    </row>
    <row r="26" spans="1:18" s="61" customFormat="1" ht="38.25" x14ac:dyDescent="0.2">
      <c r="A26" s="74">
        <v>9</v>
      </c>
      <c r="B26" s="74">
        <v>9</v>
      </c>
      <c r="C26" s="74" t="s">
        <v>47</v>
      </c>
      <c r="D26" s="74" t="s">
        <v>48</v>
      </c>
      <c r="E26" s="74" t="s">
        <v>11</v>
      </c>
      <c r="F26" s="74" t="s">
        <v>23</v>
      </c>
      <c r="G26" s="74" t="s">
        <v>811</v>
      </c>
      <c r="H26" s="74" t="s">
        <v>18</v>
      </c>
      <c r="I26" s="74">
        <v>75</v>
      </c>
      <c r="J26" s="75">
        <v>50000</v>
      </c>
      <c r="K26" s="75">
        <f>0.75*J26</f>
        <v>37500</v>
      </c>
      <c r="L26" s="75">
        <f>+J26-K26</f>
        <v>12500</v>
      </c>
      <c r="M26" s="75"/>
      <c r="N26" s="75">
        <v>5384.29</v>
      </c>
      <c r="O26" s="76">
        <v>14615.71</v>
      </c>
      <c r="P26" s="76">
        <v>10000</v>
      </c>
      <c r="Q26" s="76">
        <v>10000</v>
      </c>
      <c r="R26" s="76">
        <v>10000</v>
      </c>
    </row>
    <row r="27" spans="1:18" ht="102" x14ac:dyDescent="0.2">
      <c r="A27" s="68"/>
      <c r="B27" s="68">
        <v>9</v>
      </c>
      <c r="C27" s="68" t="s">
        <v>49</v>
      </c>
      <c r="D27" s="68" t="s">
        <v>50</v>
      </c>
      <c r="E27" s="68" t="s">
        <v>15</v>
      </c>
      <c r="F27" s="68"/>
      <c r="G27" s="68"/>
      <c r="H27" s="68"/>
      <c r="I27" s="68">
        <v>75</v>
      </c>
      <c r="J27" s="69">
        <v>20000</v>
      </c>
      <c r="K27" s="69">
        <v>15000</v>
      </c>
      <c r="L27" s="69">
        <v>5000</v>
      </c>
      <c r="M27" s="69"/>
      <c r="N27" s="69">
        <v>5384.29</v>
      </c>
      <c r="O27" s="15">
        <v>14615.71</v>
      </c>
      <c r="P27" s="15"/>
      <c r="Q27" s="15"/>
      <c r="R27" s="15"/>
    </row>
    <row r="28" spans="1:18" ht="38.25" x14ac:dyDescent="0.2">
      <c r="A28" s="66"/>
      <c r="B28" s="66"/>
      <c r="C28" s="66" t="s">
        <v>51</v>
      </c>
      <c r="D28" s="66" t="s">
        <v>52</v>
      </c>
      <c r="E28" s="66" t="s">
        <v>8</v>
      </c>
      <c r="F28" s="66"/>
      <c r="G28" s="66"/>
      <c r="H28" s="66"/>
      <c r="I28" s="66"/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19">
        <v>0</v>
      </c>
      <c r="P28" s="19">
        <v>0</v>
      </c>
      <c r="Q28" s="19">
        <v>0</v>
      </c>
      <c r="R28" s="19">
        <v>0</v>
      </c>
    </row>
    <row r="29" spans="1:18" ht="38.25" x14ac:dyDescent="0.2">
      <c r="A29" s="66"/>
      <c r="B29" s="66"/>
      <c r="C29" s="66" t="s">
        <v>53</v>
      </c>
      <c r="D29" s="66" t="s">
        <v>54</v>
      </c>
      <c r="E29" s="66" t="s">
        <v>8</v>
      </c>
      <c r="F29" s="66"/>
      <c r="G29" s="66"/>
      <c r="H29" s="66"/>
      <c r="I29" s="66">
        <v>75</v>
      </c>
      <c r="J29" s="67">
        <f>+J30+J32</f>
        <v>161440.89000000001</v>
      </c>
      <c r="K29" s="67">
        <f t="shared" ref="K29:R29" si="6">+K30+K32</f>
        <v>121080.6675</v>
      </c>
      <c r="L29" s="67">
        <f t="shared" si="6"/>
        <v>40360.222500000003</v>
      </c>
      <c r="M29" s="67">
        <f t="shared" si="6"/>
        <v>15700</v>
      </c>
      <c r="N29" s="67">
        <f t="shared" si="6"/>
        <v>50000</v>
      </c>
      <c r="O29" s="19">
        <f t="shared" si="6"/>
        <v>95740.89</v>
      </c>
      <c r="P29" s="19">
        <f t="shared" si="6"/>
        <v>0</v>
      </c>
      <c r="Q29" s="19">
        <f t="shared" si="6"/>
        <v>0</v>
      </c>
      <c r="R29" s="19">
        <f t="shared" si="6"/>
        <v>0</v>
      </c>
    </row>
    <row r="30" spans="1:18" s="61" customFormat="1" ht="38.25" x14ac:dyDescent="0.2">
      <c r="A30" s="74">
        <v>10</v>
      </c>
      <c r="B30" s="74">
        <v>10</v>
      </c>
      <c r="C30" s="74" t="s">
        <v>55</v>
      </c>
      <c r="D30" s="74" t="s">
        <v>56</v>
      </c>
      <c r="E30" s="74" t="s">
        <v>11</v>
      </c>
      <c r="F30" s="74" t="s">
        <v>36</v>
      </c>
      <c r="G30" s="74" t="s">
        <v>811</v>
      </c>
      <c r="H30" s="74" t="s">
        <v>18</v>
      </c>
      <c r="I30" s="74">
        <v>75</v>
      </c>
      <c r="J30" s="75">
        <v>111440.89</v>
      </c>
      <c r="K30" s="75">
        <f>0.75*J30</f>
        <v>83580.667499999996</v>
      </c>
      <c r="L30" s="75">
        <f>+J30-K30</f>
        <v>27860.222500000003</v>
      </c>
      <c r="M30" s="75">
        <v>15700</v>
      </c>
      <c r="N30" s="75">
        <v>50000</v>
      </c>
      <c r="O30" s="76">
        <v>45740.89</v>
      </c>
      <c r="P30" s="76"/>
      <c r="Q30" s="76"/>
      <c r="R30" s="76"/>
    </row>
    <row r="31" spans="1:18" ht="89.25" x14ac:dyDescent="0.2">
      <c r="A31" s="68"/>
      <c r="B31" s="68">
        <v>10</v>
      </c>
      <c r="C31" s="68" t="s">
        <v>57</v>
      </c>
      <c r="D31" s="68" t="s">
        <v>58</v>
      </c>
      <c r="E31" s="68" t="s">
        <v>15</v>
      </c>
      <c r="F31" s="68"/>
      <c r="G31" s="68"/>
      <c r="H31" s="68"/>
      <c r="I31" s="68">
        <v>75</v>
      </c>
      <c r="J31" s="69">
        <v>111440.89</v>
      </c>
      <c r="K31" s="69">
        <v>83580.66</v>
      </c>
      <c r="L31" s="69">
        <v>27860.23</v>
      </c>
      <c r="M31" s="69">
        <v>15700</v>
      </c>
      <c r="N31" s="69">
        <v>50000</v>
      </c>
      <c r="O31" s="15">
        <v>45740.89</v>
      </c>
      <c r="P31" s="15"/>
      <c r="Q31" s="15"/>
      <c r="R31" s="15"/>
    </row>
    <row r="32" spans="1:18" s="61" customFormat="1" ht="38.25" x14ac:dyDescent="0.2">
      <c r="A32" s="74">
        <v>11</v>
      </c>
      <c r="B32" s="74">
        <v>11</v>
      </c>
      <c r="C32" s="74" t="s">
        <v>59</v>
      </c>
      <c r="D32" s="74" t="s">
        <v>60</v>
      </c>
      <c r="E32" s="74" t="s">
        <v>11</v>
      </c>
      <c r="F32" s="74" t="s">
        <v>23</v>
      </c>
      <c r="G32" s="74" t="s">
        <v>811</v>
      </c>
      <c r="H32" s="74" t="s">
        <v>18</v>
      </c>
      <c r="I32" s="74">
        <v>75</v>
      </c>
      <c r="J32" s="75">
        <v>50000</v>
      </c>
      <c r="K32" s="75">
        <f>0.75*J32</f>
        <v>37500</v>
      </c>
      <c r="L32" s="75">
        <f>+J32-K32</f>
        <v>12500</v>
      </c>
      <c r="M32" s="75"/>
      <c r="N32" s="75"/>
      <c r="O32" s="76">
        <v>50000</v>
      </c>
      <c r="P32" s="76"/>
      <c r="Q32" s="76"/>
      <c r="R32" s="76"/>
    </row>
    <row r="33" spans="1:18" ht="51" x14ac:dyDescent="0.2">
      <c r="A33" s="68"/>
      <c r="B33" s="68">
        <v>11</v>
      </c>
      <c r="C33" s="68" t="s">
        <v>61</v>
      </c>
      <c r="D33" s="68" t="s">
        <v>62</v>
      </c>
      <c r="E33" s="68" t="s">
        <v>15</v>
      </c>
      <c r="F33" s="68"/>
      <c r="G33" s="68"/>
      <c r="H33" s="68"/>
      <c r="I33" s="68">
        <v>75</v>
      </c>
      <c r="J33" s="69">
        <v>50000</v>
      </c>
      <c r="K33" s="69">
        <v>37500</v>
      </c>
      <c r="L33" s="69">
        <v>12500</v>
      </c>
      <c r="M33" s="69"/>
      <c r="N33" s="69"/>
      <c r="O33" s="15">
        <v>50000</v>
      </c>
      <c r="P33" s="15"/>
      <c r="Q33" s="15"/>
      <c r="R33" s="15"/>
    </row>
    <row r="34" spans="1:18" ht="25.5" x14ac:dyDescent="0.2">
      <c r="A34" s="66"/>
      <c r="B34" s="66"/>
      <c r="C34" s="66" t="s">
        <v>63</v>
      </c>
      <c r="D34" s="66" t="s">
        <v>64</v>
      </c>
      <c r="E34" s="66" t="s">
        <v>8</v>
      </c>
      <c r="F34" s="66"/>
      <c r="G34" s="66"/>
      <c r="H34" s="66"/>
      <c r="I34" s="66">
        <v>75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19">
        <v>0</v>
      </c>
      <c r="P34" s="19">
        <v>0</v>
      </c>
      <c r="Q34" s="19">
        <v>0</v>
      </c>
      <c r="R34" s="19">
        <v>0</v>
      </c>
    </row>
    <row r="35" spans="1:18" ht="38.25" x14ac:dyDescent="0.2">
      <c r="A35" s="66"/>
      <c r="B35" s="66"/>
      <c r="C35" s="66" t="s">
        <v>66</v>
      </c>
      <c r="D35" s="66" t="s">
        <v>67</v>
      </c>
      <c r="E35" s="66" t="s">
        <v>8</v>
      </c>
      <c r="F35" s="66"/>
      <c r="G35" s="66"/>
      <c r="H35" s="66"/>
      <c r="I35" s="66">
        <v>75</v>
      </c>
      <c r="J35" s="67">
        <f>+J36+J38</f>
        <v>200000</v>
      </c>
      <c r="K35" s="67">
        <f t="shared" ref="K35:R35" si="7">+K36+K38</f>
        <v>150000</v>
      </c>
      <c r="L35" s="67">
        <f t="shared" si="7"/>
        <v>50000</v>
      </c>
      <c r="M35" s="67">
        <f t="shared" si="7"/>
        <v>11203.8</v>
      </c>
      <c r="N35" s="67">
        <f t="shared" si="7"/>
        <v>58792.020000000004</v>
      </c>
      <c r="O35" s="19">
        <f t="shared" si="7"/>
        <v>110790</v>
      </c>
      <c r="P35" s="19">
        <f t="shared" si="7"/>
        <v>6000</v>
      </c>
      <c r="Q35" s="19">
        <f t="shared" si="7"/>
        <v>6000</v>
      </c>
      <c r="R35" s="19">
        <f t="shared" si="7"/>
        <v>7214.18</v>
      </c>
    </row>
    <row r="36" spans="1:18" s="61" customFormat="1" ht="25.5" x14ac:dyDescent="0.2">
      <c r="A36" s="74">
        <v>12</v>
      </c>
      <c r="B36" s="74">
        <v>12</v>
      </c>
      <c r="C36" s="74" t="s">
        <v>68</v>
      </c>
      <c r="D36" s="74" t="s">
        <v>69</v>
      </c>
      <c r="E36" s="74" t="s">
        <v>11</v>
      </c>
      <c r="F36" s="74" t="s">
        <v>12</v>
      </c>
      <c r="G36" s="74" t="s">
        <v>811</v>
      </c>
      <c r="H36" s="74" t="s">
        <v>13</v>
      </c>
      <c r="I36" s="74">
        <v>75</v>
      </c>
      <c r="J36" s="75">
        <v>45000</v>
      </c>
      <c r="K36" s="75">
        <f>0.75*J36</f>
        <v>33750</v>
      </c>
      <c r="L36" s="75">
        <f>+J36-K36</f>
        <v>11250</v>
      </c>
      <c r="M36" s="75">
        <v>5993.8</v>
      </c>
      <c r="N36" s="75">
        <v>4792.0200000000004</v>
      </c>
      <c r="O36" s="76">
        <v>15000</v>
      </c>
      <c r="P36" s="76">
        <v>6000</v>
      </c>
      <c r="Q36" s="76">
        <v>6000</v>
      </c>
      <c r="R36" s="76">
        <v>7214.18</v>
      </c>
    </row>
    <row r="37" spans="1:18" ht="25.5" x14ac:dyDescent="0.2">
      <c r="A37" s="68"/>
      <c r="B37" s="68">
        <v>12</v>
      </c>
      <c r="C37" s="68" t="s">
        <v>70</v>
      </c>
      <c r="D37" s="68" t="s">
        <v>69</v>
      </c>
      <c r="E37" s="68" t="s">
        <v>15</v>
      </c>
      <c r="F37" s="68"/>
      <c r="G37" s="68"/>
      <c r="H37" s="68"/>
      <c r="I37" s="68">
        <v>75</v>
      </c>
      <c r="J37" s="69">
        <v>19979.36</v>
      </c>
      <c r="K37" s="69">
        <v>14984.52</v>
      </c>
      <c r="L37" s="69">
        <v>4994.84</v>
      </c>
      <c r="M37" s="69">
        <v>5993.8</v>
      </c>
      <c r="N37" s="69">
        <v>4792.0200000000004</v>
      </c>
      <c r="O37" s="15">
        <v>9193.5400000000009</v>
      </c>
      <c r="P37" s="15"/>
      <c r="Q37" s="15"/>
      <c r="R37" s="15"/>
    </row>
    <row r="38" spans="1:18" s="61" customFormat="1" ht="38.25" x14ac:dyDescent="0.2">
      <c r="A38" s="74">
        <v>13</v>
      </c>
      <c r="B38" s="74">
        <v>13</v>
      </c>
      <c r="C38" s="74" t="s">
        <v>71</v>
      </c>
      <c r="D38" s="74" t="s">
        <v>72</v>
      </c>
      <c r="E38" s="74" t="s">
        <v>11</v>
      </c>
      <c r="F38" s="74" t="s">
        <v>36</v>
      </c>
      <c r="G38" s="74" t="s">
        <v>811</v>
      </c>
      <c r="H38" s="74" t="s">
        <v>18</v>
      </c>
      <c r="I38" s="74">
        <v>75</v>
      </c>
      <c r="J38" s="75">
        <v>155000</v>
      </c>
      <c r="K38" s="75">
        <f>0.75*J38</f>
        <v>116250</v>
      </c>
      <c r="L38" s="75">
        <f>+J38-K38</f>
        <v>38750</v>
      </c>
      <c r="M38" s="75">
        <v>5210</v>
      </c>
      <c r="N38" s="75">
        <v>54000</v>
      </c>
      <c r="O38" s="76">
        <v>95790</v>
      </c>
      <c r="P38" s="76"/>
      <c r="Q38" s="76"/>
      <c r="R38" s="76"/>
    </row>
    <row r="39" spans="1:18" ht="63.75" x14ac:dyDescent="0.2">
      <c r="A39" s="68"/>
      <c r="B39" s="68">
        <v>13</v>
      </c>
      <c r="C39" s="68" t="s">
        <v>73</v>
      </c>
      <c r="D39" s="68" t="s">
        <v>74</v>
      </c>
      <c r="E39" s="68" t="s">
        <v>15</v>
      </c>
      <c r="F39" s="68"/>
      <c r="G39" s="68"/>
      <c r="H39" s="68"/>
      <c r="I39" s="68">
        <v>75</v>
      </c>
      <c r="J39" s="69">
        <v>155000</v>
      </c>
      <c r="K39" s="69">
        <v>116250</v>
      </c>
      <c r="L39" s="69">
        <v>38750</v>
      </c>
      <c r="M39" s="69">
        <v>5210</v>
      </c>
      <c r="N39" s="69">
        <v>54000</v>
      </c>
      <c r="O39" s="15">
        <v>95790</v>
      </c>
      <c r="P39" s="15"/>
      <c r="Q39" s="15"/>
      <c r="R39" s="15"/>
    </row>
    <row r="40" spans="1:18" ht="38.25" x14ac:dyDescent="0.2">
      <c r="A40" s="66"/>
      <c r="B40" s="66"/>
      <c r="C40" s="66" t="s">
        <v>75</v>
      </c>
      <c r="D40" s="66" t="s">
        <v>76</v>
      </c>
      <c r="E40" s="66" t="s">
        <v>8</v>
      </c>
      <c r="F40" s="66"/>
      <c r="G40" s="66"/>
      <c r="H40" s="66"/>
      <c r="I40" s="66">
        <v>75</v>
      </c>
      <c r="J40" s="67">
        <f>+J41</f>
        <v>70000</v>
      </c>
      <c r="K40" s="67">
        <f t="shared" ref="K40:R40" si="8">+K41</f>
        <v>52500</v>
      </c>
      <c r="L40" s="67">
        <f t="shared" si="8"/>
        <v>17500</v>
      </c>
      <c r="M40" s="67">
        <f t="shared" si="8"/>
        <v>21370</v>
      </c>
      <c r="N40" s="67">
        <f t="shared" si="8"/>
        <v>20305</v>
      </c>
      <c r="O40" s="19">
        <f t="shared" si="8"/>
        <v>28325</v>
      </c>
      <c r="P40" s="19">
        <f t="shared" si="8"/>
        <v>0</v>
      </c>
      <c r="Q40" s="19">
        <f t="shared" si="8"/>
        <v>0</v>
      </c>
      <c r="R40" s="19">
        <f t="shared" si="8"/>
        <v>0</v>
      </c>
    </row>
    <row r="41" spans="1:18" s="61" customFormat="1" ht="38.25" x14ac:dyDescent="0.2">
      <c r="A41" s="74">
        <v>14</v>
      </c>
      <c r="B41" s="74">
        <v>14</v>
      </c>
      <c r="C41" s="74" t="s">
        <v>77</v>
      </c>
      <c r="D41" s="74" t="s">
        <v>78</v>
      </c>
      <c r="E41" s="74" t="s">
        <v>11</v>
      </c>
      <c r="F41" s="74" t="s">
        <v>28</v>
      </c>
      <c r="G41" s="74" t="s">
        <v>811</v>
      </c>
      <c r="H41" s="74" t="s">
        <v>18</v>
      </c>
      <c r="I41" s="74">
        <v>75</v>
      </c>
      <c r="J41" s="75">
        <v>70000</v>
      </c>
      <c r="K41" s="75">
        <f>0.75*J41</f>
        <v>52500</v>
      </c>
      <c r="L41" s="75">
        <f>+J41-K41</f>
        <v>17500</v>
      </c>
      <c r="M41" s="75">
        <v>21370</v>
      </c>
      <c r="N41" s="75">
        <v>20305</v>
      </c>
      <c r="O41" s="76">
        <v>28325</v>
      </c>
      <c r="P41" s="76"/>
      <c r="Q41" s="76"/>
      <c r="R41" s="76"/>
    </row>
    <row r="42" spans="1:18" ht="63.75" x14ac:dyDescent="0.2">
      <c r="A42" s="68"/>
      <c r="B42" s="68">
        <v>14</v>
      </c>
      <c r="C42" s="68" t="s">
        <v>79</v>
      </c>
      <c r="D42" s="68" t="s">
        <v>80</v>
      </c>
      <c r="E42" s="68" t="s">
        <v>15</v>
      </c>
      <c r="F42" s="68"/>
      <c r="G42" s="68"/>
      <c r="H42" s="68"/>
      <c r="I42" s="68">
        <v>75</v>
      </c>
      <c r="J42" s="69">
        <v>70000</v>
      </c>
      <c r="K42" s="69">
        <v>52500</v>
      </c>
      <c r="L42" s="69">
        <v>17500</v>
      </c>
      <c r="M42" s="69">
        <v>21370</v>
      </c>
      <c r="N42" s="69">
        <v>20305</v>
      </c>
      <c r="O42" s="15">
        <v>28325</v>
      </c>
      <c r="P42" s="15"/>
      <c r="Q42" s="15"/>
      <c r="R42" s="15"/>
    </row>
    <row r="43" spans="1:18" ht="38.25" x14ac:dyDescent="0.2">
      <c r="A43" s="66"/>
      <c r="B43" s="66"/>
      <c r="C43" s="66" t="s">
        <v>81</v>
      </c>
      <c r="D43" s="66" t="s">
        <v>82</v>
      </c>
      <c r="E43" s="66" t="s">
        <v>8</v>
      </c>
      <c r="F43" s="66"/>
      <c r="G43" s="66"/>
      <c r="H43" s="66"/>
      <c r="I43" s="66">
        <v>75</v>
      </c>
      <c r="J43" s="67">
        <f>+J44</f>
        <v>79922.58</v>
      </c>
      <c r="K43" s="67">
        <f t="shared" ref="K43:R43" si="9">+K44</f>
        <v>59941.934999999998</v>
      </c>
      <c r="L43" s="67">
        <f t="shared" si="9"/>
        <v>19980.645000000004</v>
      </c>
      <c r="M43" s="67">
        <f t="shared" si="9"/>
        <v>0</v>
      </c>
      <c r="N43" s="67">
        <f t="shared" si="9"/>
        <v>23976.77</v>
      </c>
      <c r="O43" s="19">
        <f t="shared" si="9"/>
        <v>29571.35</v>
      </c>
      <c r="P43" s="19">
        <f t="shared" si="9"/>
        <v>26374.46</v>
      </c>
      <c r="Q43" s="19">
        <f t="shared" si="9"/>
        <v>0</v>
      </c>
      <c r="R43" s="19">
        <f t="shared" si="9"/>
        <v>0</v>
      </c>
    </row>
    <row r="44" spans="1:18" s="61" customFormat="1" ht="25.5" x14ac:dyDescent="0.2">
      <c r="A44" s="74">
        <v>15</v>
      </c>
      <c r="B44" s="74">
        <v>15</v>
      </c>
      <c r="C44" s="74" t="s">
        <v>84</v>
      </c>
      <c r="D44" s="74" t="s">
        <v>85</v>
      </c>
      <c r="E44" s="74" t="s">
        <v>11</v>
      </c>
      <c r="F44" s="74" t="s">
        <v>28</v>
      </c>
      <c r="G44" s="74" t="s">
        <v>811</v>
      </c>
      <c r="H44" s="74" t="s">
        <v>13</v>
      </c>
      <c r="I44" s="74">
        <v>75</v>
      </c>
      <c r="J44" s="75">
        <v>79922.58</v>
      </c>
      <c r="K44" s="75">
        <f>0.75*J44</f>
        <v>59941.934999999998</v>
      </c>
      <c r="L44" s="75">
        <f>+J44-K44</f>
        <v>19980.645000000004</v>
      </c>
      <c r="M44" s="75"/>
      <c r="N44" s="75">
        <v>23976.77</v>
      </c>
      <c r="O44" s="76">
        <v>29571.35</v>
      </c>
      <c r="P44" s="76">
        <v>26374.46</v>
      </c>
      <c r="Q44" s="76"/>
      <c r="R44" s="76"/>
    </row>
    <row r="45" spans="1:18" ht="38.25" x14ac:dyDescent="0.2">
      <c r="A45" s="70"/>
      <c r="B45" s="70">
        <v>15</v>
      </c>
      <c r="C45" s="70" t="s">
        <v>86</v>
      </c>
      <c r="D45" s="70" t="s">
        <v>87</v>
      </c>
      <c r="E45" s="70" t="s">
        <v>15</v>
      </c>
      <c r="F45" s="70"/>
      <c r="G45" s="70"/>
      <c r="H45" s="70"/>
      <c r="I45" s="70">
        <v>75</v>
      </c>
      <c r="J45" s="71">
        <v>79922.58</v>
      </c>
      <c r="K45" s="71">
        <v>59941.93</v>
      </c>
      <c r="L45" s="71">
        <v>19980.650000000001</v>
      </c>
      <c r="M45" s="71"/>
      <c r="N45" s="71">
        <v>23976.77</v>
      </c>
      <c r="O45" s="23">
        <v>29571.35</v>
      </c>
      <c r="P45" s="23">
        <v>26374.46</v>
      </c>
      <c r="Q45" s="23"/>
      <c r="R45" s="23"/>
    </row>
    <row r="46" spans="1:18" ht="22.5" customHeight="1" x14ac:dyDescent="0.2">
      <c r="A46" s="64"/>
      <c r="B46" s="64"/>
      <c r="C46" s="64" t="s">
        <v>88</v>
      </c>
      <c r="D46" s="64" t="s">
        <v>89</v>
      </c>
      <c r="E46" s="64" t="s">
        <v>5</v>
      </c>
      <c r="F46" s="64"/>
      <c r="G46" s="64"/>
      <c r="H46" s="64"/>
      <c r="I46" s="64">
        <v>75</v>
      </c>
      <c r="J46" s="65">
        <f>+K46+L46</f>
        <v>258312</v>
      </c>
      <c r="K46" s="65">
        <v>193734</v>
      </c>
      <c r="L46" s="65">
        <f>+K46/3</f>
        <v>64578</v>
      </c>
      <c r="M46" s="65">
        <v>0</v>
      </c>
      <c r="N46" s="65">
        <v>0</v>
      </c>
      <c r="O46" s="29">
        <v>0</v>
      </c>
      <c r="P46" s="29">
        <v>0</v>
      </c>
      <c r="Q46" s="29">
        <v>0</v>
      </c>
      <c r="R46" s="29">
        <v>0</v>
      </c>
    </row>
    <row r="47" spans="1:18" x14ac:dyDescent="0.2">
      <c r="A47" s="66"/>
      <c r="B47" s="66"/>
      <c r="C47" s="66" t="s">
        <v>88</v>
      </c>
      <c r="D47" s="66" t="s">
        <v>89</v>
      </c>
      <c r="E47" s="66" t="s">
        <v>5</v>
      </c>
      <c r="F47" s="66"/>
      <c r="G47" s="66"/>
      <c r="H47" s="66"/>
      <c r="I47" s="66">
        <v>75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19">
        <v>0</v>
      </c>
      <c r="P47" s="19">
        <v>0</v>
      </c>
      <c r="Q47" s="19">
        <v>0</v>
      </c>
      <c r="R47" s="19">
        <v>0</v>
      </c>
    </row>
    <row r="48" spans="1:18" ht="38.25" x14ac:dyDescent="0.2">
      <c r="A48" s="66"/>
      <c r="B48" s="66"/>
      <c r="C48" s="66" t="s">
        <v>90</v>
      </c>
      <c r="D48" s="66" t="s">
        <v>91</v>
      </c>
      <c r="E48" s="66" t="s">
        <v>8</v>
      </c>
      <c r="F48" s="66"/>
      <c r="G48" s="66"/>
      <c r="H48" s="66"/>
      <c r="I48" s="66">
        <v>75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19">
        <v>0</v>
      </c>
      <c r="P48" s="19">
        <v>0</v>
      </c>
      <c r="Q48" s="19">
        <v>0</v>
      </c>
      <c r="R48" s="19">
        <v>0</v>
      </c>
    </row>
    <row r="49" spans="1:21" ht="38.25" x14ac:dyDescent="0.2">
      <c r="A49" s="66"/>
      <c r="B49" s="66"/>
      <c r="C49" s="66" t="s">
        <v>92</v>
      </c>
      <c r="D49" s="66" t="s">
        <v>93</v>
      </c>
      <c r="E49" s="66" t="s">
        <v>8</v>
      </c>
      <c r="F49" s="66"/>
      <c r="G49" s="66"/>
      <c r="H49" s="66"/>
      <c r="I49" s="66"/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19">
        <v>0</v>
      </c>
      <c r="P49" s="19">
        <v>0</v>
      </c>
      <c r="Q49" s="19">
        <v>0</v>
      </c>
      <c r="R49" s="19">
        <v>0</v>
      </c>
    </row>
    <row r="50" spans="1:21" ht="38.25" x14ac:dyDescent="0.2">
      <c r="A50" s="66"/>
      <c r="B50" s="66"/>
      <c r="C50" s="66" t="s">
        <v>94</v>
      </c>
      <c r="D50" s="66" t="s">
        <v>95</v>
      </c>
      <c r="E50" s="66" t="s">
        <v>8</v>
      </c>
      <c r="F50" s="66"/>
      <c r="G50" s="66"/>
      <c r="H50" s="66"/>
      <c r="I50" s="66"/>
      <c r="J50" s="67">
        <v>0</v>
      </c>
      <c r="K50" s="67">
        <v>0</v>
      </c>
      <c r="L50" s="67">
        <v>0</v>
      </c>
      <c r="M50" s="67">
        <v>0</v>
      </c>
      <c r="N50" s="67">
        <v>0</v>
      </c>
      <c r="O50" s="19">
        <v>0</v>
      </c>
      <c r="P50" s="19">
        <v>0</v>
      </c>
      <c r="Q50" s="19">
        <v>0</v>
      </c>
      <c r="R50" s="19">
        <v>0</v>
      </c>
    </row>
    <row r="51" spans="1:21" x14ac:dyDescent="0.2">
      <c r="A51" s="64"/>
      <c r="B51" s="64"/>
      <c r="C51" s="64" t="s">
        <v>96</v>
      </c>
      <c r="D51" s="64" t="s">
        <v>97</v>
      </c>
      <c r="E51" s="64" t="s">
        <v>5</v>
      </c>
      <c r="F51" s="64"/>
      <c r="G51" s="64"/>
      <c r="H51" s="64"/>
      <c r="I51" s="64">
        <v>100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29">
        <v>0</v>
      </c>
      <c r="P51" s="29">
        <v>0</v>
      </c>
      <c r="Q51" s="29">
        <v>0</v>
      </c>
      <c r="R51" s="29">
        <v>0</v>
      </c>
    </row>
    <row r="52" spans="1:21" ht="25.5" x14ac:dyDescent="0.2">
      <c r="A52" s="66"/>
      <c r="B52" s="66"/>
      <c r="C52" s="66" t="s">
        <v>98</v>
      </c>
      <c r="D52" s="66" t="s">
        <v>97</v>
      </c>
      <c r="E52" s="66" t="s">
        <v>8</v>
      </c>
      <c r="F52" s="66"/>
      <c r="G52" s="66"/>
      <c r="H52" s="66"/>
      <c r="I52" s="66">
        <v>100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19">
        <v>0</v>
      </c>
      <c r="P52" s="19">
        <v>0</v>
      </c>
      <c r="Q52" s="19">
        <v>0</v>
      </c>
      <c r="R52" s="19">
        <v>0</v>
      </c>
    </row>
    <row r="53" spans="1:21" s="61" customFormat="1" ht="38.25" x14ac:dyDescent="0.2">
      <c r="A53" s="74">
        <v>16</v>
      </c>
      <c r="B53" s="74">
        <v>16</v>
      </c>
      <c r="C53" s="74" t="s">
        <v>99</v>
      </c>
      <c r="D53" s="74" t="s">
        <v>100</v>
      </c>
      <c r="E53" s="74" t="s">
        <v>11</v>
      </c>
      <c r="F53" s="74" t="s">
        <v>28</v>
      </c>
      <c r="G53" s="74" t="s">
        <v>811</v>
      </c>
      <c r="H53" s="74" t="s">
        <v>18</v>
      </c>
      <c r="I53" s="74">
        <v>100</v>
      </c>
      <c r="J53" s="75">
        <v>0</v>
      </c>
      <c r="K53" s="75">
        <v>0</v>
      </c>
      <c r="L53" s="75">
        <v>0</v>
      </c>
      <c r="M53" s="75"/>
      <c r="N53" s="75">
        <v>0</v>
      </c>
      <c r="O53" s="69">
        <v>0</v>
      </c>
      <c r="P53" s="69"/>
      <c r="Q53" s="69"/>
      <c r="R53" s="69"/>
    </row>
    <row r="54" spans="1:21" ht="25.5" x14ac:dyDescent="0.2">
      <c r="A54" s="70"/>
      <c r="B54" s="70">
        <v>16</v>
      </c>
      <c r="C54" s="70" t="s">
        <v>101</v>
      </c>
      <c r="D54" s="70" t="s">
        <v>100</v>
      </c>
      <c r="E54" s="70" t="s">
        <v>15</v>
      </c>
      <c r="F54" s="70"/>
      <c r="G54" s="70"/>
      <c r="H54" s="70"/>
      <c r="I54" s="70">
        <v>100</v>
      </c>
      <c r="J54" s="71">
        <v>0</v>
      </c>
      <c r="K54" s="71">
        <v>0</v>
      </c>
      <c r="L54" s="71">
        <v>0</v>
      </c>
      <c r="M54" s="71"/>
      <c r="N54" s="71">
        <v>0</v>
      </c>
      <c r="O54" s="23">
        <v>0</v>
      </c>
      <c r="P54" s="23"/>
      <c r="Q54" s="23"/>
      <c r="R54" s="23"/>
    </row>
    <row r="55" spans="1:21" x14ac:dyDescent="0.2">
      <c r="A55" s="64"/>
      <c r="B55" s="64"/>
      <c r="C55" s="64" t="s">
        <v>102</v>
      </c>
      <c r="D55" s="64" t="s">
        <v>103</v>
      </c>
      <c r="E55" s="64" t="s">
        <v>2</v>
      </c>
      <c r="F55" s="64"/>
      <c r="G55" s="64"/>
      <c r="H55" s="64"/>
      <c r="I55" s="64">
        <v>75</v>
      </c>
      <c r="J55" s="65">
        <f>+J57+J62+J88</f>
        <v>8037452.0033333329</v>
      </c>
      <c r="K55" s="65">
        <f>+K57+K62+K88</f>
        <v>6028089</v>
      </c>
      <c r="L55" s="65">
        <f>+L57+L62+L88</f>
        <v>2009363.0033333332</v>
      </c>
      <c r="M55" s="65"/>
      <c r="N55" s="65"/>
      <c r="O55" s="29"/>
      <c r="P55" s="29"/>
      <c r="Q55" s="29"/>
      <c r="R55" s="29"/>
      <c r="S55" s="32">
        <f>+J55-J56</f>
        <v>1736114.3533333326</v>
      </c>
      <c r="T55" s="32">
        <f>+K55-K56</f>
        <v>1302085.7625000002</v>
      </c>
      <c r="U55" s="33" t="s">
        <v>814</v>
      </c>
    </row>
    <row r="56" spans="1:21" x14ac:dyDescent="0.2">
      <c r="A56" s="66"/>
      <c r="B56" s="66"/>
      <c r="C56" s="66" t="s">
        <v>102</v>
      </c>
      <c r="D56" s="66" t="s">
        <v>103</v>
      </c>
      <c r="E56" s="66" t="s">
        <v>2</v>
      </c>
      <c r="F56" s="66"/>
      <c r="G56" s="66"/>
      <c r="H56" s="66"/>
      <c r="I56" s="66">
        <v>75</v>
      </c>
      <c r="J56" s="67">
        <f>+J58+J89+J63</f>
        <v>6301337.6500000004</v>
      </c>
      <c r="K56" s="67">
        <f t="shared" ref="K56:R56" si="10">+K58+K89+K63</f>
        <v>4726003.2374999998</v>
      </c>
      <c r="L56" s="67">
        <f t="shared" si="10"/>
        <v>1575334.4125000001</v>
      </c>
      <c r="M56" s="67">
        <f t="shared" si="10"/>
        <v>315603.19999999995</v>
      </c>
      <c r="N56" s="67">
        <f t="shared" si="10"/>
        <v>1405498.4</v>
      </c>
      <c r="O56" s="19">
        <f t="shared" si="10"/>
        <v>1232004</v>
      </c>
      <c r="P56" s="19">
        <f t="shared" si="10"/>
        <v>1108386.07</v>
      </c>
      <c r="Q56" s="19">
        <f t="shared" si="10"/>
        <v>1069760.33</v>
      </c>
      <c r="R56" s="19">
        <f t="shared" si="10"/>
        <v>1170085.6499999999</v>
      </c>
    </row>
    <row r="57" spans="1:21" x14ac:dyDescent="0.2">
      <c r="A57" s="64"/>
      <c r="B57" s="64"/>
      <c r="C57" s="64" t="s">
        <v>104</v>
      </c>
      <c r="D57" s="64" t="s">
        <v>105</v>
      </c>
      <c r="E57" s="64" t="s">
        <v>5</v>
      </c>
      <c r="F57" s="64"/>
      <c r="G57" s="64"/>
      <c r="H57" s="64"/>
      <c r="I57" s="64">
        <v>75</v>
      </c>
      <c r="J57" s="65">
        <f>+K57+L57</f>
        <v>688830.67</v>
      </c>
      <c r="K57" s="65">
        <v>516623</v>
      </c>
      <c r="L57" s="65">
        <v>172207.67</v>
      </c>
      <c r="M57" s="65"/>
      <c r="N57" s="65"/>
      <c r="O57" s="29"/>
      <c r="P57" s="29"/>
      <c r="Q57" s="29"/>
      <c r="R57" s="29">
        <v>0</v>
      </c>
    </row>
    <row r="58" spans="1:21" x14ac:dyDescent="0.2">
      <c r="A58" s="66"/>
      <c r="B58" s="66"/>
      <c r="C58" s="66" t="s">
        <v>104</v>
      </c>
      <c r="D58" s="66" t="s">
        <v>105</v>
      </c>
      <c r="E58" s="66" t="s">
        <v>5</v>
      </c>
      <c r="F58" s="66"/>
      <c r="G58" s="66"/>
      <c r="H58" s="66"/>
      <c r="I58" s="66">
        <v>75</v>
      </c>
      <c r="J58" s="67">
        <f>+J59</f>
        <v>50000</v>
      </c>
      <c r="K58" s="67">
        <f t="shared" ref="K58:R59" si="11">+K59</f>
        <v>37500</v>
      </c>
      <c r="L58" s="67">
        <f t="shared" si="11"/>
        <v>12500</v>
      </c>
      <c r="M58" s="67">
        <f t="shared" si="11"/>
        <v>0</v>
      </c>
      <c r="N58" s="67">
        <f t="shared" si="11"/>
        <v>25000</v>
      </c>
      <c r="O58" s="19">
        <f t="shared" si="11"/>
        <v>25000</v>
      </c>
      <c r="P58" s="19">
        <f t="shared" si="11"/>
        <v>0</v>
      </c>
      <c r="Q58" s="19">
        <f t="shared" si="11"/>
        <v>0</v>
      </c>
      <c r="R58" s="19">
        <f t="shared" si="11"/>
        <v>0</v>
      </c>
    </row>
    <row r="59" spans="1:21" ht="38.25" x14ac:dyDescent="0.2">
      <c r="A59" s="66"/>
      <c r="B59" s="66"/>
      <c r="C59" s="66" t="s">
        <v>106</v>
      </c>
      <c r="D59" s="66" t="s">
        <v>107</v>
      </c>
      <c r="E59" s="66" t="s">
        <v>8</v>
      </c>
      <c r="F59" s="66"/>
      <c r="G59" s="66"/>
      <c r="H59" s="66"/>
      <c r="I59" s="66">
        <v>75</v>
      </c>
      <c r="J59" s="67">
        <f>+J60</f>
        <v>50000</v>
      </c>
      <c r="K59" s="67">
        <f t="shared" si="11"/>
        <v>37500</v>
      </c>
      <c r="L59" s="67">
        <f t="shared" si="11"/>
        <v>12500</v>
      </c>
      <c r="M59" s="67">
        <f t="shared" si="11"/>
        <v>0</v>
      </c>
      <c r="N59" s="67">
        <f t="shared" si="11"/>
        <v>25000</v>
      </c>
      <c r="O59" s="19">
        <f t="shared" si="11"/>
        <v>25000</v>
      </c>
      <c r="P59" s="19">
        <f t="shared" si="11"/>
        <v>0</v>
      </c>
      <c r="Q59" s="19">
        <f t="shared" si="11"/>
        <v>0</v>
      </c>
      <c r="R59" s="19">
        <f t="shared" si="11"/>
        <v>0</v>
      </c>
    </row>
    <row r="60" spans="1:21" s="61" customFormat="1" ht="38.25" x14ac:dyDescent="0.2">
      <c r="A60" s="74">
        <v>17</v>
      </c>
      <c r="B60" s="74">
        <v>17</v>
      </c>
      <c r="C60" s="74" t="s">
        <v>108</v>
      </c>
      <c r="D60" s="74" t="s">
        <v>109</v>
      </c>
      <c r="E60" s="74" t="s">
        <v>11</v>
      </c>
      <c r="F60" s="74" t="s">
        <v>28</v>
      </c>
      <c r="G60" s="74" t="s">
        <v>811</v>
      </c>
      <c r="H60" s="74" t="s">
        <v>18</v>
      </c>
      <c r="I60" s="74">
        <v>75</v>
      </c>
      <c r="J60" s="75">
        <v>50000</v>
      </c>
      <c r="K60" s="75">
        <f>0.75*J60</f>
        <v>37500</v>
      </c>
      <c r="L60" s="75">
        <f>+J60-K60</f>
        <v>12500</v>
      </c>
      <c r="M60" s="75">
        <v>0</v>
      </c>
      <c r="N60" s="75">
        <v>25000</v>
      </c>
      <c r="O60" s="76">
        <v>25000</v>
      </c>
      <c r="P60" s="76"/>
      <c r="Q60" s="76"/>
      <c r="R60" s="76"/>
    </row>
    <row r="61" spans="1:21" ht="76.5" x14ac:dyDescent="0.2">
      <c r="A61" s="70"/>
      <c r="B61" s="70">
        <v>17</v>
      </c>
      <c r="C61" s="70" t="s">
        <v>110</v>
      </c>
      <c r="D61" s="70" t="s">
        <v>111</v>
      </c>
      <c r="E61" s="70" t="s">
        <v>15</v>
      </c>
      <c r="F61" s="70"/>
      <c r="G61" s="70"/>
      <c r="H61" s="70"/>
      <c r="I61" s="70">
        <v>75</v>
      </c>
      <c r="J61" s="71">
        <v>50000</v>
      </c>
      <c r="K61" s="71">
        <v>37500</v>
      </c>
      <c r="L61" s="71">
        <v>12500</v>
      </c>
      <c r="M61" s="71"/>
      <c r="N61" s="71">
        <v>0</v>
      </c>
      <c r="O61" s="77">
        <v>50000</v>
      </c>
      <c r="P61" s="77"/>
      <c r="Q61" s="77"/>
      <c r="R61" s="77"/>
    </row>
    <row r="62" spans="1:21" ht="24.75" customHeight="1" x14ac:dyDescent="0.2">
      <c r="A62" s="64"/>
      <c r="B62" s="64"/>
      <c r="C62" s="64" t="s">
        <v>112</v>
      </c>
      <c r="D62" s="64" t="s">
        <v>113</v>
      </c>
      <c r="E62" s="64" t="s">
        <v>5</v>
      </c>
      <c r="F62" s="64"/>
      <c r="G62" s="64"/>
      <c r="H62" s="64"/>
      <c r="I62" s="64">
        <v>75</v>
      </c>
      <c r="J62" s="65">
        <f>+K62+L62</f>
        <v>6797557.333333333</v>
      </c>
      <c r="K62" s="65">
        <f>4236309+861859</f>
        <v>5098168</v>
      </c>
      <c r="L62" s="65">
        <f>+K62/3</f>
        <v>1699389.3333333333</v>
      </c>
      <c r="M62" s="65"/>
      <c r="N62" s="65"/>
      <c r="O62" s="29"/>
      <c r="P62" s="29"/>
      <c r="Q62" s="29"/>
      <c r="R62" s="29"/>
    </row>
    <row r="63" spans="1:21" x14ac:dyDescent="0.2">
      <c r="A63" s="66"/>
      <c r="B63" s="66"/>
      <c r="C63" s="66" t="s">
        <v>112</v>
      </c>
      <c r="D63" s="66" t="s">
        <v>113</v>
      </c>
      <c r="E63" s="66"/>
      <c r="F63" s="66"/>
      <c r="G63" s="66"/>
      <c r="H63" s="66"/>
      <c r="I63" s="66">
        <v>75</v>
      </c>
      <c r="J63" s="67">
        <f>+J64+J69+J71+J81+J82+J86</f>
        <v>5911337.6500000004</v>
      </c>
      <c r="K63" s="67">
        <f t="shared" ref="K63:R63" si="12">+K64+K69+K71+K81+K82+K86</f>
        <v>4433503.2374999998</v>
      </c>
      <c r="L63" s="67">
        <f t="shared" si="12"/>
        <v>1477834.4125000001</v>
      </c>
      <c r="M63" s="67">
        <f t="shared" si="12"/>
        <v>315603.19999999995</v>
      </c>
      <c r="N63" s="67">
        <f t="shared" si="12"/>
        <v>1355009.45</v>
      </c>
      <c r="O63" s="19">
        <f t="shared" si="12"/>
        <v>978450</v>
      </c>
      <c r="P63" s="19">
        <f t="shared" si="12"/>
        <v>1063189.3500000001</v>
      </c>
      <c r="Q63" s="19">
        <f t="shared" si="12"/>
        <v>1049000</v>
      </c>
      <c r="R63" s="19">
        <f t="shared" si="12"/>
        <v>1150085.6499999999</v>
      </c>
    </row>
    <row r="64" spans="1:21" ht="38.25" x14ac:dyDescent="0.2">
      <c r="A64" s="66"/>
      <c r="B64" s="66"/>
      <c r="C64" s="66" t="s">
        <v>114</v>
      </c>
      <c r="D64" s="66" t="s">
        <v>115</v>
      </c>
      <c r="E64" s="66" t="s">
        <v>8</v>
      </c>
      <c r="F64" s="66"/>
      <c r="G64" s="66"/>
      <c r="H64" s="66"/>
      <c r="I64" s="66">
        <v>75</v>
      </c>
      <c r="J64" s="67">
        <f>+J65+J67</f>
        <v>3200000</v>
      </c>
      <c r="K64" s="67">
        <f t="shared" ref="K64:R64" si="13">+K65+K67</f>
        <v>2400000</v>
      </c>
      <c r="L64" s="67">
        <f t="shared" si="13"/>
        <v>800000</v>
      </c>
      <c r="M64" s="67">
        <f t="shared" si="13"/>
        <v>118862.6</v>
      </c>
      <c r="N64" s="67">
        <f t="shared" si="13"/>
        <v>978587.4</v>
      </c>
      <c r="O64" s="19">
        <f t="shared" si="13"/>
        <v>392550</v>
      </c>
      <c r="P64" s="19">
        <f t="shared" si="13"/>
        <v>570000</v>
      </c>
      <c r="Q64" s="19">
        <f t="shared" si="13"/>
        <v>570000</v>
      </c>
      <c r="R64" s="19">
        <f t="shared" si="13"/>
        <v>570000</v>
      </c>
    </row>
    <row r="65" spans="1:18" s="61" customFormat="1" ht="38.25" x14ac:dyDescent="0.2">
      <c r="A65" s="74">
        <v>18</v>
      </c>
      <c r="B65" s="74">
        <v>18</v>
      </c>
      <c r="C65" s="74" t="s">
        <v>116</v>
      </c>
      <c r="D65" s="74" t="s">
        <v>117</v>
      </c>
      <c r="E65" s="74" t="s">
        <v>11</v>
      </c>
      <c r="F65" s="74" t="s">
        <v>28</v>
      </c>
      <c r="G65" s="74" t="s">
        <v>811</v>
      </c>
      <c r="H65" s="74" t="s">
        <v>18</v>
      </c>
      <c r="I65" s="74">
        <v>75</v>
      </c>
      <c r="J65" s="75">
        <v>2750000</v>
      </c>
      <c r="K65" s="75">
        <f>0.75*J65</f>
        <v>2062500</v>
      </c>
      <c r="L65" s="75">
        <f>+J65-K65</f>
        <v>687500</v>
      </c>
      <c r="M65" s="75">
        <v>84110</v>
      </c>
      <c r="N65" s="75">
        <v>843340</v>
      </c>
      <c r="O65" s="76">
        <v>322550</v>
      </c>
      <c r="P65" s="76">
        <v>500000</v>
      </c>
      <c r="Q65" s="76">
        <v>500000</v>
      </c>
      <c r="R65" s="76">
        <v>500000</v>
      </c>
    </row>
    <row r="66" spans="1:18" ht="25.5" x14ac:dyDescent="0.2">
      <c r="A66" s="68"/>
      <c r="B66" s="68">
        <v>18</v>
      </c>
      <c r="C66" s="68" t="s">
        <v>118</v>
      </c>
      <c r="D66" s="68" t="s">
        <v>119</v>
      </c>
      <c r="E66" s="68" t="s">
        <v>15</v>
      </c>
      <c r="F66" s="68"/>
      <c r="G66" s="68"/>
      <c r="H66" s="68"/>
      <c r="I66" s="68">
        <v>75</v>
      </c>
      <c r="J66" s="69">
        <v>1250000</v>
      </c>
      <c r="K66" s="69">
        <v>937500</v>
      </c>
      <c r="L66" s="69">
        <v>312500</v>
      </c>
      <c r="M66" s="69">
        <v>84110</v>
      </c>
      <c r="N66" s="69">
        <v>843340</v>
      </c>
      <c r="O66" s="77">
        <v>322550</v>
      </c>
      <c r="P66" s="77"/>
      <c r="Q66" s="77"/>
      <c r="R66" s="77"/>
    </row>
    <row r="67" spans="1:18" s="61" customFormat="1" ht="38.25" x14ac:dyDescent="0.2">
      <c r="A67" s="74">
        <v>19</v>
      </c>
      <c r="B67" s="74">
        <v>19</v>
      </c>
      <c r="C67" s="74" t="s">
        <v>120</v>
      </c>
      <c r="D67" s="74" t="s">
        <v>121</v>
      </c>
      <c r="E67" s="74" t="s">
        <v>11</v>
      </c>
      <c r="F67" s="74" t="s">
        <v>28</v>
      </c>
      <c r="G67" s="74" t="s">
        <v>811</v>
      </c>
      <c r="H67" s="74" t="s">
        <v>18</v>
      </c>
      <c r="I67" s="74">
        <v>75</v>
      </c>
      <c r="J67" s="75">
        <v>450000</v>
      </c>
      <c r="K67" s="75">
        <f>0.75*J67</f>
        <v>337500</v>
      </c>
      <c r="L67" s="75">
        <f>+J67-K67</f>
        <v>112500</v>
      </c>
      <c r="M67" s="75">
        <v>34752.6</v>
      </c>
      <c r="N67" s="75">
        <v>135247.4</v>
      </c>
      <c r="O67" s="76">
        <v>70000</v>
      </c>
      <c r="P67" s="76">
        <v>70000</v>
      </c>
      <c r="Q67" s="76">
        <v>70000</v>
      </c>
      <c r="R67" s="76">
        <v>70000</v>
      </c>
    </row>
    <row r="68" spans="1:18" ht="25.5" x14ac:dyDescent="0.2">
      <c r="A68" s="68"/>
      <c r="B68" s="68">
        <v>19</v>
      </c>
      <c r="C68" s="68" t="s">
        <v>122</v>
      </c>
      <c r="D68" s="68" t="s">
        <v>123</v>
      </c>
      <c r="E68" s="68" t="s">
        <v>15</v>
      </c>
      <c r="F68" s="68"/>
      <c r="G68" s="68"/>
      <c r="H68" s="68"/>
      <c r="I68" s="68">
        <v>75</v>
      </c>
      <c r="J68" s="69">
        <v>170000</v>
      </c>
      <c r="K68" s="69">
        <v>127500</v>
      </c>
      <c r="L68" s="69">
        <v>42500</v>
      </c>
      <c r="M68" s="69">
        <v>34752.6</v>
      </c>
      <c r="N68" s="69">
        <v>135247.4</v>
      </c>
      <c r="O68" s="77"/>
      <c r="P68" s="77"/>
      <c r="Q68" s="77"/>
      <c r="R68" s="77"/>
    </row>
    <row r="69" spans="1:18" ht="38.25" x14ac:dyDescent="0.2">
      <c r="A69" s="66"/>
      <c r="B69" s="66"/>
      <c r="C69" s="66" t="s">
        <v>124</v>
      </c>
      <c r="D69" s="66" t="s">
        <v>125</v>
      </c>
      <c r="E69" s="66" t="s">
        <v>8</v>
      </c>
      <c r="F69" s="66"/>
      <c r="G69" s="66"/>
      <c r="H69" s="66"/>
      <c r="I69" s="66">
        <v>75</v>
      </c>
      <c r="J69" s="67">
        <f>+J70</f>
        <v>450000</v>
      </c>
      <c r="K69" s="67">
        <f t="shared" ref="K69:R69" si="14">+K70</f>
        <v>337500</v>
      </c>
      <c r="L69" s="67">
        <f t="shared" si="14"/>
        <v>112500</v>
      </c>
      <c r="M69" s="67">
        <f t="shared" si="14"/>
        <v>0</v>
      </c>
      <c r="N69" s="67">
        <f t="shared" si="14"/>
        <v>0</v>
      </c>
      <c r="O69" s="19">
        <f t="shared" si="14"/>
        <v>90000</v>
      </c>
      <c r="P69" s="19">
        <f t="shared" si="14"/>
        <v>90000</v>
      </c>
      <c r="Q69" s="19">
        <f t="shared" si="14"/>
        <v>90000</v>
      </c>
      <c r="R69" s="19">
        <f t="shared" si="14"/>
        <v>180000</v>
      </c>
    </row>
    <row r="70" spans="1:18" s="61" customFormat="1" ht="38.25" x14ac:dyDescent="0.2">
      <c r="A70" s="74">
        <v>20</v>
      </c>
      <c r="B70" s="74">
        <v>0</v>
      </c>
      <c r="C70" s="74" t="s">
        <v>126</v>
      </c>
      <c r="D70" s="74" t="s">
        <v>127</v>
      </c>
      <c r="E70" s="74" t="s">
        <v>11</v>
      </c>
      <c r="F70" s="74"/>
      <c r="G70" s="74" t="s">
        <v>811</v>
      </c>
      <c r="H70" s="74" t="s">
        <v>13</v>
      </c>
      <c r="I70" s="74">
        <v>75</v>
      </c>
      <c r="J70" s="75">
        <v>450000</v>
      </c>
      <c r="K70" s="75">
        <f>0.75*J70</f>
        <v>337500</v>
      </c>
      <c r="L70" s="75">
        <f>+J70-K70</f>
        <v>112500</v>
      </c>
      <c r="M70" s="75"/>
      <c r="N70" s="75">
        <v>0</v>
      </c>
      <c r="O70" s="76">
        <v>90000</v>
      </c>
      <c r="P70" s="76">
        <v>90000</v>
      </c>
      <c r="Q70" s="76">
        <v>90000</v>
      </c>
      <c r="R70" s="76">
        <v>180000</v>
      </c>
    </row>
    <row r="71" spans="1:18" ht="38.25" x14ac:dyDescent="0.2">
      <c r="A71" s="66"/>
      <c r="B71" s="66"/>
      <c r="C71" s="66" t="s">
        <v>128</v>
      </c>
      <c r="D71" s="66" t="s">
        <v>129</v>
      </c>
      <c r="E71" s="66" t="s">
        <v>8</v>
      </c>
      <c r="F71" s="66"/>
      <c r="G71" s="66"/>
      <c r="H71" s="66"/>
      <c r="I71" s="66">
        <v>75</v>
      </c>
      <c r="J71" s="67">
        <f>+J72+J74+J76+J78+J80</f>
        <v>2178500</v>
      </c>
      <c r="K71" s="67">
        <f t="shared" ref="K71:R71" si="15">+K72+K74+K76+K78+K80</f>
        <v>1633875</v>
      </c>
      <c r="L71" s="67">
        <f t="shared" si="15"/>
        <v>544625</v>
      </c>
      <c r="M71" s="67">
        <f t="shared" si="15"/>
        <v>170000</v>
      </c>
      <c r="N71" s="67">
        <f t="shared" si="15"/>
        <v>320325</v>
      </c>
      <c r="O71" s="19">
        <f t="shared" si="15"/>
        <v>495900</v>
      </c>
      <c r="P71" s="19">
        <f t="shared" si="15"/>
        <v>403189.35</v>
      </c>
      <c r="Q71" s="19">
        <f t="shared" si="15"/>
        <v>389000</v>
      </c>
      <c r="R71" s="19">
        <f t="shared" si="15"/>
        <v>400085.65</v>
      </c>
    </row>
    <row r="72" spans="1:18" s="61" customFormat="1" ht="38.25" x14ac:dyDescent="0.2">
      <c r="A72" s="74">
        <v>21</v>
      </c>
      <c r="B72" s="74">
        <v>20</v>
      </c>
      <c r="C72" s="74" t="s">
        <v>130</v>
      </c>
      <c r="D72" s="74" t="s">
        <v>131</v>
      </c>
      <c r="E72" s="74" t="s">
        <v>11</v>
      </c>
      <c r="F72" s="74" t="s">
        <v>23</v>
      </c>
      <c r="G72" s="74" t="s">
        <v>811</v>
      </c>
      <c r="H72" s="74" t="s">
        <v>13</v>
      </c>
      <c r="I72" s="74">
        <v>75</v>
      </c>
      <c r="J72" s="75">
        <v>400000</v>
      </c>
      <c r="K72" s="75">
        <f>0.75*J72</f>
        <v>300000</v>
      </c>
      <c r="L72" s="75">
        <f>+J72-K72</f>
        <v>100000</v>
      </c>
      <c r="M72" s="75">
        <v>47000</v>
      </c>
      <c r="N72" s="75">
        <v>39225</v>
      </c>
      <c r="O72" s="76">
        <v>90000</v>
      </c>
      <c r="P72" s="76">
        <v>70000</v>
      </c>
      <c r="Q72" s="76">
        <v>70000</v>
      </c>
      <c r="R72" s="76">
        <v>83775</v>
      </c>
    </row>
    <row r="73" spans="1:18" ht="25.5" x14ac:dyDescent="0.2">
      <c r="A73" s="70"/>
      <c r="B73" s="70">
        <v>20</v>
      </c>
      <c r="C73" s="70" t="s">
        <v>132</v>
      </c>
      <c r="D73" s="70" t="s">
        <v>133</v>
      </c>
      <c r="E73" s="70" t="s">
        <v>15</v>
      </c>
      <c r="F73" s="70"/>
      <c r="G73" s="70"/>
      <c r="H73" s="70"/>
      <c r="I73" s="70">
        <v>75</v>
      </c>
      <c r="J73" s="71">
        <v>157210</v>
      </c>
      <c r="K73" s="71">
        <v>117907.5</v>
      </c>
      <c r="L73" s="71">
        <v>39302.5</v>
      </c>
      <c r="M73" s="71">
        <v>47000</v>
      </c>
      <c r="N73" s="71">
        <v>39224.76</v>
      </c>
      <c r="O73" s="77">
        <v>70985.239999999991</v>
      </c>
      <c r="P73" s="77"/>
      <c r="Q73" s="77"/>
      <c r="R73" s="77"/>
    </row>
    <row r="74" spans="1:18" s="61" customFormat="1" ht="38.25" x14ac:dyDescent="0.2">
      <c r="A74" s="74">
        <v>22</v>
      </c>
      <c r="B74" s="74">
        <v>21</v>
      </c>
      <c r="C74" s="74" t="s">
        <v>134</v>
      </c>
      <c r="D74" s="74" t="s">
        <v>135</v>
      </c>
      <c r="E74" s="74" t="s">
        <v>11</v>
      </c>
      <c r="F74" s="74" t="s">
        <v>28</v>
      </c>
      <c r="G74" s="74" t="s">
        <v>811</v>
      </c>
      <c r="H74" s="74" t="s">
        <v>18</v>
      </c>
      <c r="I74" s="74">
        <v>75</v>
      </c>
      <c r="J74" s="75">
        <v>895000</v>
      </c>
      <c r="K74" s="75">
        <f>0.75*J74</f>
        <v>671250</v>
      </c>
      <c r="L74" s="75">
        <f>+J74-K74</f>
        <v>223750</v>
      </c>
      <c r="M74" s="75">
        <v>120000</v>
      </c>
      <c r="N74" s="75">
        <v>175000</v>
      </c>
      <c r="O74" s="76">
        <v>150000</v>
      </c>
      <c r="P74" s="76">
        <v>150000</v>
      </c>
      <c r="Q74" s="76">
        <v>150000</v>
      </c>
      <c r="R74" s="76">
        <v>150000</v>
      </c>
    </row>
    <row r="75" spans="1:18" ht="25.5" x14ac:dyDescent="0.2">
      <c r="A75" s="70"/>
      <c r="B75" s="70">
        <v>21</v>
      </c>
      <c r="C75" s="70" t="s">
        <v>136</v>
      </c>
      <c r="D75" s="70" t="s">
        <v>135</v>
      </c>
      <c r="E75" s="70" t="s">
        <v>15</v>
      </c>
      <c r="F75" s="70"/>
      <c r="G75" s="70"/>
      <c r="H75" s="70"/>
      <c r="I75" s="70">
        <v>75</v>
      </c>
      <c r="J75" s="71">
        <v>355000</v>
      </c>
      <c r="K75" s="71">
        <v>266250</v>
      </c>
      <c r="L75" s="71">
        <v>88750</v>
      </c>
      <c r="M75" s="71">
        <v>120000</v>
      </c>
      <c r="N75" s="71">
        <v>175000</v>
      </c>
      <c r="O75" s="77">
        <v>60000</v>
      </c>
      <c r="P75" s="77"/>
      <c r="Q75" s="77"/>
      <c r="R75" s="77"/>
    </row>
    <row r="76" spans="1:18" s="61" customFormat="1" ht="38.25" x14ac:dyDescent="0.2">
      <c r="A76" s="74">
        <v>23</v>
      </c>
      <c r="B76" s="74">
        <v>22</v>
      </c>
      <c r="C76" s="74" t="s">
        <v>137</v>
      </c>
      <c r="D76" s="74" t="s">
        <v>138</v>
      </c>
      <c r="E76" s="74" t="s">
        <v>11</v>
      </c>
      <c r="F76" s="74" t="s">
        <v>23</v>
      </c>
      <c r="G76" s="74" t="s">
        <v>811</v>
      </c>
      <c r="H76" s="74" t="s">
        <v>18</v>
      </c>
      <c r="I76" s="74">
        <v>75</v>
      </c>
      <c r="J76" s="75">
        <v>33000</v>
      </c>
      <c r="K76" s="75">
        <f>0.75*J76</f>
        <v>24750</v>
      </c>
      <c r="L76" s="75">
        <f>+J76-K76</f>
        <v>8250</v>
      </c>
      <c r="M76" s="75">
        <v>3000</v>
      </c>
      <c r="N76" s="75">
        <v>6100</v>
      </c>
      <c r="O76" s="76">
        <v>5900</v>
      </c>
      <c r="P76" s="76">
        <v>6000</v>
      </c>
      <c r="Q76" s="76">
        <v>6000</v>
      </c>
      <c r="R76" s="76">
        <v>6000</v>
      </c>
    </row>
    <row r="77" spans="1:18" ht="38.25" x14ac:dyDescent="0.2">
      <c r="A77" s="70"/>
      <c r="B77" s="70">
        <v>22</v>
      </c>
      <c r="C77" s="70" t="s">
        <v>139</v>
      </c>
      <c r="D77" s="70" t="s">
        <v>138</v>
      </c>
      <c r="E77" s="70" t="s">
        <v>15</v>
      </c>
      <c r="F77" s="70"/>
      <c r="G77" s="70"/>
      <c r="H77" s="70"/>
      <c r="I77" s="70">
        <v>75</v>
      </c>
      <c r="J77" s="71">
        <v>15000</v>
      </c>
      <c r="K77" s="71">
        <v>11250</v>
      </c>
      <c r="L77" s="71">
        <v>3750</v>
      </c>
      <c r="M77" s="71">
        <v>3000</v>
      </c>
      <c r="N77" s="71">
        <v>6100</v>
      </c>
      <c r="O77" s="77">
        <v>5900</v>
      </c>
      <c r="P77" s="77"/>
      <c r="Q77" s="77"/>
      <c r="R77" s="77"/>
    </row>
    <row r="78" spans="1:18" s="61" customFormat="1" ht="38.25" x14ac:dyDescent="0.2">
      <c r="A78" s="74">
        <v>24</v>
      </c>
      <c r="B78" s="74">
        <v>23</v>
      </c>
      <c r="C78" s="74" t="s">
        <v>140</v>
      </c>
      <c r="D78" s="74" t="s">
        <v>141</v>
      </c>
      <c r="E78" s="74" t="s">
        <v>11</v>
      </c>
      <c r="F78" s="74" t="s">
        <v>36</v>
      </c>
      <c r="G78" s="74" t="s">
        <v>811</v>
      </c>
      <c r="H78" s="74" t="s">
        <v>13</v>
      </c>
      <c r="I78" s="74">
        <v>75</v>
      </c>
      <c r="J78" s="75">
        <v>850500</v>
      </c>
      <c r="K78" s="75">
        <f>0.75*J78</f>
        <v>637875</v>
      </c>
      <c r="L78" s="75">
        <f>+J78-K78</f>
        <v>212625</v>
      </c>
      <c r="M78" s="75"/>
      <c r="N78" s="75">
        <v>100000</v>
      </c>
      <c r="O78" s="76">
        <v>250000</v>
      </c>
      <c r="P78" s="76">
        <v>177189.35</v>
      </c>
      <c r="Q78" s="76">
        <v>163000</v>
      </c>
      <c r="R78" s="76">
        <v>160310.65</v>
      </c>
    </row>
    <row r="79" spans="1:18" ht="38.25" x14ac:dyDescent="0.2">
      <c r="A79" s="70"/>
      <c r="B79" s="70">
        <v>23</v>
      </c>
      <c r="C79" s="70" t="s">
        <v>142</v>
      </c>
      <c r="D79" s="70" t="s">
        <v>141</v>
      </c>
      <c r="E79" s="70" t="s">
        <v>15</v>
      </c>
      <c r="F79" s="70"/>
      <c r="G79" s="70"/>
      <c r="H79" s="70"/>
      <c r="I79" s="70">
        <v>75</v>
      </c>
      <c r="J79" s="71">
        <v>487189.35</v>
      </c>
      <c r="K79" s="71">
        <v>365392.01</v>
      </c>
      <c r="L79" s="71">
        <v>121797.34</v>
      </c>
      <c r="M79" s="71"/>
      <c r="N79" s="71">
        <v>100000</v>
      </c>
      <c r="O79" s="77">
        <v>250000</v>
      </c>
      <c r="P79" s="77">
        <v>137189.34999999998</v>
      </c>
      <c r="Q79" s="77"/>
      <c r="R79" s="77"/>
    </row>
    <row r="80" spans="1:18" s="61" customFormat="1" ht="25.5" x14ac:dyDescent="0.2">
      <c r="A80" s="74">
        <v>25</v>
      </c>
      <c r="B80" s="74">
        <v>0</v>
      </c>
      <c r="C80" s="74" t="s">
        <v>143</v>
      </c>
      <c r="D80" s="74" t="s">
        <v>144</v>
      </c>
      <c r="E80" s="74" t="s">
        <v>11</v>
      </c>
      <c r="F80" s="74"/>
      <c r="G80" s="74" t="s">
        <v>811</v>
      </c>
      <c r="H80" s="74" t="s">
        <v>13</v>
      </c>
      <c r="I80" s="74">
        <v>75</v>
      </c>
      <c r="J80" s="75">
        <v>0</v>
      </c>
      <c r="K80" s="75">
        <v>0</v>
      </c>
      <c r="L80" s="75">
        <v>0</v>
      </c>
      <c r="M80" s="75"/>
      <c r="N80" s="75">
        <v>0</v>
      </c>
      <c r="O80" s="69">
        <v>0</v>
      </c>
      <c r="P80" s="69">
        <v>0</v>
      </c>
      <c r="Q80" s="69">
        <v>0</v>
      </c>
      <c r="R80" s="69"/>
    </row>
    <row r="81" spans="1:18" ht="38.25" x14ac:dyDescent="0.2">
      <c r="A81" s="66"/>
      <c r="B81" s="66"/>
      <c r="C81" s="66" t="s">
        <v>145</v>
      </c>
      <c r="D81" s="66" t="s">
        <v>146</v>
      </c>
      <c r="E81" s="66" t="s">
        <v>8</v>
      </c>
      <c r="F81" s="66"/>
      <c r="G81" s="66"/>
      <c r="H81" s="66"/>
      <c r="I81" s="66"/>
      <c r="J81" s="67">
        <v>0</v>
      </c>
      <c r="K81" s="67">
        <v>0</v>
      </c>
      <c r="L81" s="67">
        <v>0</v>
      </c>
      <c r="M81" s="67">
        <v>0</v>
      </c>
      <c r="N81" s="67">
        <v>0</v>
      </c>
      <c r="O81" s="19">
        <v>0</v>
      </c>
      <c r="P81" s="19">
        <v>0</v>
      </c>
      <c r="Q81" s="19">
        <v>0</v>
      </c>
      <c r="R81" s="19">
        <v>0</v>
      </c>
    </row>
    <row r="82" spans="1:18" ht="38.25" x14ac:dyDescent="0.2">
      <c r="A82" s="66"/>
      <c r="B82" s="66"/>
      <c r="C82" s="66" t="s">
        <v>147</v>
      </c>
      <c r="D82" s="66" t="s">
        <v>148</v>
      </c>
      <c r="E82" s="66" t="s">
        <v>8</v>
      </c>
      <c r="F82" s="66"/>
      <c r="G82" s="66"/>
      <c r="H82" s="66"/>
      <c r="I82" s="66">
        <v>75</v>
      </c>
      <c r="J82" s="67">
        <f>+J83+J85</f>
        <v>82837.649999999994</v>
      </c>
      <c r="K82" s="67">
        <f t="shared" ref="K82:R82" si="16">+K83+K85</f>
        <v>62128.237499999996</v>
      </c>
      <c r="L82" s="67">
        <f t="shared" si="16"/>
        <v>20709.412499999999</v>
      </c>
      <c r="M82" s="67">
        <f t="shared" si="16"/>
        <v>26740.6</v>
      </c>
      <c r="N82" s="67">
        <f t="shared" si="16"/>
        <v>56097.05</v>
      </c>
      <c r="O82" s="19">
        <f t="shared" si="16"/>
        <v>0</v>
      </c>
      <c r="P82" s="19">
        <f t="shared" si="16"/>
        <v>0</v>
      </c>
      <c r="Q82" s="19">
        <f t="shared" si="16"/>
        <v>0</v>
      </c>
      <c r="R82" s="19">
        <f t="shared" si="16"/>
        <v>0</v>
      </c>
    </row>
    <row r="83" spans="1:18" s="61" customFormat="1" ht="38.25" x14ac:dyDescent="0.2">
      <c r="A83" s="74">
        <v>26</v>
      </c>
      <c r="B83" s="74">
        <v>24</v>
      </c>
      <c r="C83" s="74" t="s">
        <v>149</v>
      </c>
      <c r="D83" s="74" t="s">
        <v>150</v>
      </c>
      <c r="E83" s="74" t="s">
        <v>11</v>
      </c>
      <c r="F83" s="74" t="s">
        <v>23</v>
      </c>
      <c r="G83" s="74" t="s">
        <v>811</v>
      </c>
      <c r="H83" s="74" t="s">
        <v>13</v>
      </c>
      <c r="I83" s="74">
        <v>75</v>
      </c>
      <c r="J83" s="75">
        <v>82837.649999999994</v>
      </c>
      <c r="K83" s="75">
        <f>0.75*J83</f>
        <v>62128.237499999996</v>
      </c>
      <c r="L83" s="75">
        <f>+J83-K83</f>
        <v>20709.412499999999</v>
      </c>
      <c r="M83" s="75">
        <v>26740.6</v>
      </c>
      <c r="N83" s="75">
        <v>56097.05</v>
      </c>
      <c r="O83" s="76"/>
      <c r="P83" s="76">
        <v>0</v>
      </c>
      <c r="Q83" s="76"/>
      <c r="R83" s="76">
        <v>0</v>
      </c>
    </row>
    <row r="84" spans="1:18" ht="25.5" x14ac:dyDescent="0.2">
      <c r="A84" s="68"/>
      <c r="B84" s="68">
        <v>24</v>
      </c>
      <c r="C84" s="68" t="s">
        <v>151</v>
      </c>
      <c r="D84" s="68" t="s">
        <v>150</v>
      </c>
      <c r="E84" s="68" t="s">
        <v>15</v>
      </c>
      <c r="F84" s="68"/>
      <c r="G84" s="68"/>
      <c r="H84" s="68"/>
      <c r="I84" s="68">
        <v>75</v>
      </c>
      <c r="J84" s="69">
        <v>82837.649999999994</v>
      </c>
      <c r="K84" s="69">
        <v>62128.23</v>
      </c>
      <c r="L84" s="69">
        <v>20709.419999999991</v>
      </c>
      <c r="M84" s="69">
        <v>26740.6</v>
      </c>
      <c r="N84" s="69">
        <v>56097.05</v>
      </c>
      <c r="O84" s="77"/>
      <c r="P84" s="77"/>
      <c r="Q84" s="77"/>
      <c r="R84" s="77"/>
    </row>
    <row r="85" spans="1:18" s="61" customFormat="1" ht="25.5" x14ac:dyDescent="0.2">
      <c r="A85" s="74">
        <v>27</v>
      </c>
      <c r="B85" s="74">
        <v>0</v>
      </c>
      <c r="C85" s="74" t="s">
        <v>152</v>
      </c>
      <c r="D85" s="74" t="s">
        <v>153</v>
      </c>
      <c r="E85" s="74" t="s">
        <v>11</v>
      </c>
      <c r="F85" s="74"/>
      <c r="G85" s="74" t="s">
        <v>811</v>
      </c>
      <c r="H85" s="74" t="s">
        <v>13</v>
      </c>
      <c r="I85" s="74">
        <v>75</v>
      </c>
      <c r="J85" s="75">
        <v>0</v>
      </c>
      <c r="K85" s="75">
        <v>0</v>
      </c>
      <c r="L85" s="75">
        <v>0</v>
      </c>
      <c r="M85" s="75"/>
      <c r="N85" s="75"/>
      <c r="O85" s="76"/>
      <c r="P85" s="76">
        <v>0</v>
      </c>
      <c r="Q85" s="76"/>
      <c r="R85" s="76">
        <v>0</v>
      </c>
    </row>
    <row r="86" spans="1:18" ht="38.25" x14ac:dyDescent="0.2">
      <c r="A86" s="66"/>
      <c r="B86" s="66"/>
      <c r="C86" s="66" t="s">
        <v>154</v>
      </c>
      <c r="D86" s="66" t="s">
        <v>155</v>
      </c>
      <c r="E86" s="66" t="s">
        <v>8</v>
      </c>
      <c r="F86" s="66"/>
      <c r="G86" s="66"/>
      <c r="H86" s="66"/>
      <c r="I86" s="66">
        <v>75</v>
      </c>
      <c r="J86" s="67">
        <f>+J87</f>
        <v>0</v>
      </c>
      <c r="K86" s="67">
        <v>0</v>
      </c>
      <c r="L86" s="67">
        <v>0</v>
      </c>
      <c r="M86" s="67">
        <v>0</v>
      </c>
      <c r="N86" s="67">
        <v>0</v>
      </c>
      <c r="O86" s="19">
        <v>0</v>
      </c>
      <c r="P86" s="19">
        <v>0</v>
      </c>
      <c r="Q86" s="19">
        <v>0</v>
      </c>
      <c r="R86" s="19">
        <v>0</v>
      </c>
    </row>
    <row r="87" spans="1:18" s="61" customFormat="1" ht="38.25" x14ac:dyDescent="0.2">
      <c r="A87" s="74">
        <v>28</v>
      </c>
      <c r="B87" s="74">
        <v>0</v>
      </c>
      <c r="C87" s="74" t="s">
        <v>156</v>
      </c>
      <c r="D87" s="74" t="s">
        <v>157</v>
      </c>
      <c r="E87" s="74" t="s">
        <v>11</v>
      </c>
      <c r="F87" s="74"/>
      <c r="G87" s="74" t="s">
        <v>811</v>
      </c>
      <c r="H87" s="74" t="s">
        <v>18</v>
      </c>
      <c r="I87" s="74">
        <v>75</v>
      </c>
      <c r="J87" s="75">
        <v>0</v>
      </c>
      <c r="K87" s="75">
        <v>0</v>
      </c>
      <c r="L87" s="75">
        <v>0</v>
      </c>
      <c r="M87" s="75"/>
      <c r="N87" s="75"/>
      <c r="O87" s="76"/>
      <c r="P87" s="76"/>
      <c r="Q87" s="76"/>
      <c r="R87" s="76"/>
    </row>
    <row r="88" spans="1:18" ht="26.25" customHeight="1" x14ac:dyDescent="0.2">
      <c r="A88" s="72"/>
      <c r="B88" s="72"/>
      <c r="C88" s="72" t="s">
        <v>158</v>
      </c>
      <c r="D88" s="72" t="s">
        <v>159</v>
      </c>
      <c r="E88" s="72" t="s">
        <v>5</v>
      </c>
      <c r="F88" s="72"/>
      <c r="G88" s="72"/>
      <c r="H88" s="72"/>
      <c r="I88" s="72">
        <v>75</v>
      </c>
      <c r="J88" s="73">
        <v>551064</v>
      </c>
      <c r="K88" s="73">
        <v>413298</v>
      </c>
      <c r="L88" s="73">
        <v>137766</v>
      </c>
      <c r="M88" s="73"/>
      <c r="N88" s="73"/>
      <c r="O88" s="26"/>
      <c r="P88" s="26"/>
      <c r="Q88" s="26"/>
      <c r="R88" s="26"/>
    </row>
    <row r="89" spans="1:18" x14ac:dyDescent="0.2">
      <c r="A89" s="66"/>
      <c r="B89" s="66"/>
      <c r="C89" s="66" t="s">
        <v>158</v>
      </c>
      <c r="D89" s="66" t="s">
        <v>159</v>
      </c>
      <c r="E89" s="66" t="s">
        <v>5</v>
      </c>
      <c r="F89" s="66"/>
      <c r="G89" s="66"/>
      <c r="H89" s="66"/>
      <c r="I89" s="66">
        <v>75</v>
      </c>
      <c r="J89" s="67">
        <f>+J90+J92+J94+J99</f>
        <v>340000</v>
      </c>
      <c r="K89" s="67">
        <f t="shared" ref="K89:R89" si="17">+K90+K92+K94+K99</f>
        <v>255000</v>
      </c>
      <c r="L89" s="67">
        <f t="shared" si="17"/>
        <v>85000</v>
      </c>
      <c r="M89" s="67">
        <f t="shared" si="17"/>
        <v>0</v>
      </c>
      <c r="N89" s="67">
        <f t="shared" si="17"/>
        <v>25488.95</v>
      </c>
      <c r="O89" s="19">
        <f t="shared" si="17"/>
        <v>228554</v>
      </c>
      <c r="P89" s="19">
        <f t="shared" si="17"/>
        <v>45196.72</v>
      </c>
      <c r="Q89" s="19">
        <f t="shared" si="17"/>
        <v>20760.330000000002</v>
      </c>
      <c r="R89" s="19">
        <f t="shared" si="17"/>
        <v>20000</v>
      </c>
    </row>
    <row r="90" spans="1:18" ht="38.25" x14ac:dyDescent="0.2">
      <c r="A90" s="66"/>
      <c r="B90" s="66"/>
      <c r="C90" s="66" t="s">
        <v>160</v>
      </c>
      <c r="D90" s="66" t="s">
        <v>161</v>
      </c>
      <c r="E90" s="66" t="s">
        <v>8</v>
      </c>
      <c r="F90" s="66"/>
      <c r="G90" s="66"/>
      <c r="H90" s="66"/>
      <c r="I90" s="66">
        <v>75</v>
      </c>
      <c r="J90" s="67">
        <f>+J91</f>
        <v>0</v>
      </c>
      <c r="K90" s="67">
        <f t="shared" ref="K90:R90" si="18">+K91</f>
        <v>0</v>
      </c>
      <c r="L90" s="67">
        <f t="shared" si="18"/>
        <v>0</v>
      </c>
      <c r="M90" s="67">
        <f t="shared" si="18"/>
        <v>0</v>
      </c>
      <c r="N90" s="67">
        <f t="shared" si="18"/>
        <v>0</v>
      </c>
      <c r="O90" s="19">
        <f t="shared" si="18"/>
        <v>0</v>
      </c>
      <c r="P90" s="19">
        <f t="shared" si="18"/>
        <v>0</v>
      </c>
      <c r="Q90" s="19">
        <f t="shared" si="18"/>
        <v>0</v>
      </c>
      <c r="R90" s="19">
        <f t="shared" si="18"/>
        <v>0</v>
      </c>
    </row>
    <row r="91" spans="1:18" s="61" customFormat="1" ht="38.25" x14ac:dyDescent="0.2">
      <c r="A91" s="74">
        <v>29</v>
      </c>
      <c r="B91" s="74">
        <v>0</v>
      </c>
      <c r="C91" s="74" t="s">
        <v>162</v>
      </c>
      <c r="D91" s="74" t="s">
        <v>163</v>
      </c>
      <c r="E91" s="74" t="s">
        <v>11</v>
      </c>
      <c r="F91" s="74"/>
      <c r="G91" s="74" t="s">
        <v>811</v>
      </c>
      <c r="H91" s="74" t="s">
        <v>18</v>
      </c>
      <c r="I91" s="74">
        <v>75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6">
        <v>0</v>
      </c>
      <c r="P91" s="76">
        <v>0</v>
      </c>
      <c r="Q91" s="76">
        <v>0</v>
      </c>
      <c r="R91" s="76">
        <v>0</v>
      </c>
    </row>
    <row r="92" spans="1:18" ht="38.25" x14ac:dyDescent="0.2">
      <c r="A92" s="66"/>
      <c r="B92" s="66"/>
      <c r="C92" s="66" t="s">
        <v>164</v>
      </c>
      <c r="D92" s="66" t="s">
        <v>165</v>
      </c>
      <c r="E92" s="66" t="s">
        <v>8</v>
      </c>
      <c r="F92" s="66"/>
      <c r="G92" s="66"/>
      <c r="H92" s="66"/>
      <c r="I92" s="66"/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19">
        <v>0</v>
      </c>
      <c r="P92" s="19">
        <v>0</v>
      </c>
      <c r="Q92" s="19">
        <v>0</v>
      </c>
      <c r="R92" s="19">
        <v>0</v>
      </c>
    </row>
    <row r="93" spans="1:18" s="61" customFormat="1" ht="51" x14ac:dyDescent="0.2">
      <c r="A93" s="74">
        <v>30</v>
      </c>
      <c r="B93" s="74">
        <v>0</v>
      </c>
      <c r="C93" s="74" t="s">
        <v>166</v>
      </c>
      <c r="D93" s="74" t="s">
        <v>167</v>
      </c>
      <c r="E93" s="74" t="s">
        <v>11</v>
      </c>
      <c r="F93" s="74"/>
      <c r="G93" s="74" t="s">
        <v>811</v>
      </c>
      <c r="H93" s="74" t="s">
        <v>13</v>
      </c>
      <c r="I93" s="74"/>
      <c r="J93" s="75">
        <v>0</v>
      </c>
      <c r="K93" s="75">
        <v>0</v>
      </c>
      <c r="L93" s="75">
        <v>0</v>
      </c>
      <c r="M93" s="75"/>
      <c r="N93" s="75"/>
      <c r="O93" s="76"/>
      <c r="P93" s="76"/>
      <c r="Q93" s="76"/>
      <c r="R93" s="76"/>
    </row>
    <row r="94" spans="1:18" ht="38.25" x14ac:dyDescent="0.2">
      <c r="A94" s="66"/>
      <c r="B94" s="66"/>
      <c r="C94" s="66" t="s">
        <v>168</v>
      </c>
      <c r="D94" s="66" t="s">
        <v>169</v>
      </c>
      <c r="E94" s="66" t="s">
        <v>8</v>
      </c>
      <c r="F94" s="66"/>
      <c r="G94" s="66"/>
      <c r="H94" s="66"/>
      <c r="I94" s="66">
        <v>75</v>
      </c>
      <c r="J94" s="67">
        <f>+J95+J97</f>
        <v>190000</v>
      </c>
      <c r="K94" s="67">
        <f t="shared" ref="K94:R94" si="19">+K95+K97</f>
        <v>142500</v>
      </c>
      <c r="L94" s="67">
        <f t="shared" si="19"/>
        <v>47500</v>
      </c>
      <c r="M94" s="67">
        <f t="shared" si="19"/>
        <v>0</v>
      </c>
      <c r="N94" s="67">
        <f t="shared" si="19"/>
        <v>25488.95</v>
      </c>
      <c r="O94" s="19">
        <f t="shared" si="19"/>
        <v>78554</v>
      </c>
      <c r="P94" s="19">
        <f t="shared" si="19"/>
        <v>45196.72</v>
      </c>
      <c r="Q94" s="19">
        <f t="shared" si="19"/>
        <v>20760.330000000002</v>
      </c>
      <c r="R94" s="19">
        <f t="shared" si="19"/>
        <v>20000</v>
      </c>
    </row>
    <row r="95" spans="1:18" s="61" customFormat="1" ht="38.25" x14ac:dyDescent="0.2">
      <c r="A95" s="74">
        <v>31</v>
      </c>
      <c r="B95" s="74">
        <v>25</v>
      </c>
      <c r="C95" s="74" t="s">
        <v>170</v>
      </c>
      <c r="D95" s="74" t="s">
        <v>171</v>
      </c>
      <c r="E95" s="74" t="s">
        <v>11</v>
      </c>
      <c r="F95" s="74" t="s">
        <v>36</v>
      </c>
      <c r="G95" s="74" t="s">
        <v>811</v>
      </c>
      <c r="H95" s="74" t="s">
        <v>18</v>
      </c>
      <c r="I95" s="74">
        <v>75</v>
      </c>
      <c r="J95" s="75">
        <v>90760.33</v>
      </c>
      <c r="K95" s="75">
        <f>0.75*J95</f>
        <v>68070.247499999998</v>
      </c>
      <c r="L95" s="75">
        <f>+J95-K95</f>
        <v>22690.082500000004</v>
      </c>
      <c r="M95" s="75"/>
      <c r="N95" s="75">
        <v>10603</v>
      </c>
      <c r="O95" s="76">
        <v>19397</v>
      </c>
      <c r="P95" s="76">
        <v>20000</v>
      </c>
      <c r="Q95" s="76">
        <v>20760.330000000002</v>
      </c>
      <c r="R95" s="76">
        <v>20000</v>
      </c>
    </row>
    <row r="96" spans="1:18" ht="63.75" x14ac:dyDescent="0.2">
      <c r="A96" s="68"/>
      <c r="B96" s="68">
        <v>25</v>
      </c>
      <c r="C96" s="68" t="s">
        <v>172</v>
      </c>
      <c r="D96" s="68" t="s">
        <v>173</v>
      </c>
      <c r="E96" s="68" t="s">
        <v>15</v>
      </c>
      <c r="F96" s="68"/>
      <c r="G96" s="68"/>
      <c r="H96" s="68"/>
      <c r="I96" s="68">
        <v>75</v>
      </c>
      <c r="J96" s="69">
        <v>30000</v>
      </c>
      <c r="K96" s="69">
        <v>22500</v>
      </c>
      <c r="L96" s="69">
        <v>7500</v>
      </c>
      <c r="M96" s="69"/>
      <c r="N96" s="69">
        <v>10603</v>
      </c>
      <c r="O96" s="77">
        <v>19397</v>
      </c>
      <c r="P96" s="77"/>
      <c r="Q96" s="77"/>
      <c r="R96" s="77"/>
    </row>
    <row r="97" spans="1:18" s="61" customFormat="1" ht="38.25" x14ac:dyDescent="0.2">
      <c r="A97" s="74">
        <v>32</v>
      </c>
      <c r="B97" s="74">
        <v>26</v>
      </c>
      <c r="C97" s="74" t="s">
        <v>174</v>
      </c>
      <c r="D97" s="74" t="s">
        <v>175</v>
      </c>
      <c r="E97" s="74" t="s">
        <v>11</v>
      </c>
      <c r="F97" s="74" t="s">
        <v>28</v>
      </c>
      <c r="G97" s="74" t="s">
        <v>811</v>
      </c>
      <c r="H97" s="74" t="s">
        <v>13</v>
      </c>
      <c r="I97" s="74">
        <v>75</v>
      </c>
      <c r="J97" s="75">
        <f>+J98</f>
        <v>99239.67</v>
      </c>
      <c r="K97" s="75">
        <f>0.75*J97</f>
        <v>74429.752500000002</v>
      </c>
      <c r="L97" s="75">
        <f>+J97-K97</f>
        <v>24809.917499999996</v>
      </c>
      <c r="M97" s="75">
        <f>+M98</f>
        <v>0</v>
      </c>
      <c r="N97" s="75">
        <f>+N98</f>
        <v>14885.95</v>
      </c>
      <c r="O97" s="76">
        <f>+O98</f>
        <v>59157</v>
      </c>
      <c r="P97" s="76">
        <f>+P98</f>
        <v>25196.720000000001</v>
      </c>
      <c r="Q97" s="76"/>
      <c r="R97" s="76"/>
    </row>
    <row r="98" spans="1:18" ht="38.25" x14ac:dyDescent="0.2">
      <c r="A98" s="68"/>
      <c r="B98" s="68">
        <v>26</v>
      </c>
      <c r="C98" s="68" t="s">
        <v>176</v>
      </c>
      <c r="D98" s="68" t="s">
        <v>175</v>
      </c>
      <c r="E98" s="68" t="s">
        <v>15</v>
      </c>
      <c r="F98" s="68"/>
      <c r="G98" s="68"/>
      <c r="H98" s="68"/>
      <c r="I98" s="68">
        <v>75</v>
      </c>
      <c r="J98" s="69">
        <v>99239.67</v>
      </c>
      <c r="K98" s="69">
        <v>74429.75</v>
      </c>
      <c r="L98" s="69">
        <v>24809.919999999998</v>
      </c>
      <c r="M98" s="69"/>
      <c r="N98" s="69">
        <v>14885.95</v>
      </c>
      <c r="O98" s="15">
        <v>59157</v>
      </c>
      <c r="P98" s="15">
        <v>25196.720000000001</v>
      </c>
      <c r="Q98" s="15"/>
      <c r="R98" s="15"/>
    </row>
    <row r="99" spans="1:18" ht="38.25" x14ac:dyDescent="0.2">
      <c r="A99" s="66"/>
      <c r="B99" s="66"/>
      <c r="C99" s="66" t="s">
        <v>177</v>
      </c>
      <c r="D99" s="66" t="s">
        <v>178</v>
      </c>
      <c r="E99" s="66" t="s">
        <v>8</v>
      </c>
      <c r="F99" s="66"/>
      <c r="G99" s="66"/>
      <c r="H99" s="66"/>
      <c r="I99" s="66">
        <v>75</v>
      </c>
      <c r="J99" s="67">
        <f>+J100</f>
        <v>150000</v>
      </c>
      <c r="K99" s="67">
        <f t="shared" ref="K99:R99" si="20">+K100</f>
        <v>112500</v>
      </c>
      <c r="L99" s="67">
        <f t="shared" si="20"/>
        <v>37500</v>
      </c>
      <c r="M99" s="67">
        <f t="shared" si="20"/>
        <v>0</v>
      </c>
      <c r="N99" s="67">
        <f t="shared" si="20"/>
        <v>0</v>
      </c>
      <c r="O99" s="19">
        <f t="shared" si="20"/>
        <v>150000</v>
      </c>
      <c r="P99" s="19">
        <f t="shared" si="20"/>
        <v>0</v>
      </c>
      <c r="Q99" s="19">
        <f t="shared" si="20"/>
        <v>0</v>
      </c>
      <c r="R99" s="19">
        <f t="shared" si="20"/>
        <v>0</v>
      </c>
    </row>
    <row r="100" spans="1:18" s="61" customFormat="1" ht="38.25" x14ac:dyDescent="0.2">
      <c r="A100" s="74">
        <v>33</v>
      </c>
      <c r="B100" s="74">
        <v>27</v>
      </c>
      <c r="C100" s="74" t="s">
        <v>179</v>
      </c>
      <c r="D100" s="74" t="s">
        <v>180</v>
      </c>
      <c r="E100" s="74" t="s">
        <v>11</v>
      </c>
      <c r="F100" s="74" t="s">
        <v>12</v>
      </c>
      <c r="G100" s="74" t="s">
        <v>811</v>
      </c>
      <c r="H100" s="74" t="s">
        <v>18</v>
      </c>
      <c r="I100" s="74">
        <v>75</v>
      </c>
      <c r="J100" s="75">
        <v>150000</v>
      </c>
      <c r="K100" s="75">
        <f>0.75*J100</f>
        <v>112500</v>
      </c>
      <c r="L100" s="75">
        <f>+J100-K100</f>
        <v>37500</v>
      </c>
      <c r="M100" s="75"/>
      <c r="N100" s="75">
        <v>0</v>
      </c>
      <c r="O100" s="76">
        <v>150000</v>
      </c>
      <c r="P100" s="76"/>
      <c r="Q100" s="76"/>
      <c r="R100" s="76"/>
    </row>
    <row r="101" spans="1:18" ht="38.25" x14ac:dyDescent="0.2">
      <c r="A101" s="70"/>
      <c r="B101" s="70">
        <v>27</v>
      </c>
      <c r="C101" s="70" t="s">
        <v>181</v>
      </c>
      <c r="D101" s="70" t="s">
        <v>182</v>
      </c>
      <c r="E101" s="70" t="s">
        <v>15</v>
      </c>
      <c r="F101" s="70"/>
      <c r="G101" s="70"/>
      <c r="H101" s="70"/>
      <c r="I101" s="70">
        <v>75</v>
      </c>
      <c r="J101" s="71">
        <v>150000</v>
      </c>
      <c r="K101" s="71">
        <v>112500</v>
      </c>
      <c r="L101" s="71">
        <v>37500</v>
      </c>
      <c r="M101" s="71"/>
      <c r="N101" s="71">
        <v>0</v>
      </c>
      <c r="O101" s="23">
        <v>150000</v>
      </c>
      <c r="P101" s="23"/>
      <c r="Q101" s="23"/>
      <c r="R101" s="23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AB166"/>
  <sheetViews>
    <sheetView topLeftCell="B43" workbookViewId="0">
      <selection activeCell="P61" sqref="P61"/>
    </sheetView>
  </sheetViews>
  <sheetFormatPr defaultColWidth="9.140625" defaultRowHeight="12.75" x14ac:dyDescent="0.2"/>
  <cols>
    <col min="1" max="1" width="0" hidden="1" customWidth="1"/>
    <col min="2" max="2" width="7.5703125" customWidth="1"/>
    <col min="3" max="3" width="8.7109375" hidden="1" customWidth="1"/>
    <col min="4" max="4" width="12.5703125" customWidth="1"/>
    <col min="5" max="5" width="27.140625" customWidth="1"/>
    <col min="6" max="7" width="27.140625" hidden="1" customWidth="1"/>
    <col min="8" max="8" width="17.28515625" customWidth="1"/>
    <col min="9" max="9" width="27.140625" hidden="1" customWidth="1"/>
    <col min="10" max="10" width="0" hidden="1" customWidth="1"/>
    <col min="11" max="12" width="12.7109375" bestFit="1" customWidth="1"/>
    <col min="13" max="19" width="11.7109375" bestFit="1" customWidth="1"/>
    <col min="20" max="28" width="9.140625" hidden="1" customWidth="1"/>
    <col min="29" max="29" width="9.140625" style="24"/>
    <col min="30" max="30" width="11.7109375" style="24" bestFit="1" customWidth="1"/>
    <col min="31" max="16384" width="9.140625" style="24"/>
  </cols>
  <sheetData>
    <row r="1" spans="1:28" ht="38.25" x14ac:dyDescent="0.2">
      <c r="A1" s="6" t="s">
        <v>809</v>
      </c>
      <c r="B1" s="7" t="s">
        <v>782</v>
      </c>
      <c r="C1" s="7" t="s">
        <v>783</v>
      </c>
      <c r="D1" s="7" t="s">
        <v>784</v>
      </c>
      <c r="E1" s="8" t="s">
        <v>785</v>
      </c>
      <c r="F1" s="8" t="s">
        <v>786</v>
      </c>
      <c r="G1" s="8" t="s">
        <v>787</v>
      </c>
      <c r="H1" s="8" t="s">
        <v>788</v>
      </c>
      <c r="I1" s="8" t="s">
        <v>789</v>
      </c>
      <c r="J1" s="8" t="s">
        <v>790</v>
      </c>
      <c r="K1" s="8" t="s">
        <v>791</v>
      </c>
      <c r="L1" s="8" t="s">
        <v>792</v>
      </c>
      <c r="M1" s="8" t="s">
        <v>793</v>
      </c>
      <c r="N1" s="8" t="s">
        <v>794</v>
      </c>
      <c r="O1" s="8" t="s">
        <v>795</v>
      </c>
      <c r="P1" s="8" t="s">
        <v>796</v>
      </c>
      <c r="Q1" s="8" t="s">
        <v>797</v>
      </c>
      <c r="R1" s="8" t="s">
        <v>798</v>
      </c>
      <c r="S1" s="8" t="s">
        <v>799</v>
      </c>
      <c r="T1" s="5" t="s">
        <v>800</v>
      </c>
      <c r="U1" s="5" t="s">
        <v>801</v>
      </c>
      <c r="V1" s="5" t="s">
        <v>802</v>
      </c>
      <c r="W1" s="5" t="s">
        <v>803</v>
      </c>
      <c r="X1" s="5" t="s">
        <v>804</v>
      </c>
      <c r="Y1" s="5" t="s">
        <v>805</v>
      </c>
      <c r="Z1" s="5" t="s">
        <v>806</v>
      </c>
      <c r="AA1" s="5" t="s">
        <v>807</v>
      </c>
      <c r="AB1" s="5" t="s">
        <v>808</v>
      </c>
    </row>
    <row r="2" spans="1:28" ht="33" customHeight="1" x14ac:dyDescent="0.2">
      <c r="A2" s="27">
        <v>1</v>
      </c>
      <c r="B2" s="28"/>
      <c r="C2" s="28"/>
      <c r="D2" s="28" t="s">
        <v>815</v>
      </c>
      <c r="E2" s="28"/>
      <c r="F2" s="28" t="s">
        <v>2</v>
      </c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30">
        <v>0</v>
      </c>
      <c r="U2" s="30">
        <v>1210272.54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1">
        <v>0</v>
      </c>
    </row>
    <row r="3" spans="1:28" ht="38.25" x14ac:dyDescent="0.2">
      <c r="A3" s="6">
        <v>145</v>
      </c>
      <c r="B3" s="18"/>
      <c r="C3" s="18"/>
      <c r="D3" s="18" t="s">
        <v>186</v>
      </c>
      <c r="E3" s="18" t="s">
        <v>187</v>
      </c>
      <c r="F3" s="18" t="s">
        <v>2</v>
      </c>
      <c r="G3" s="18"/>
      <c r="H3" s="18"/>
      <c r="I3" s="18"/>
      <c r="J3" s="18">
        <v>90</v>
      </c>
      <c r="K3" s="19">
        <v>705600</v>
      </c>
      <c r="L3" s="19">
        <v>635040</v>
      </c>
      <c r="M3" s="19">
        <v>70560</v>
      </c>
      <c r="N3" s="19">
        <v>117600</v>
      </c>
      <c r="O3" s="19">
        <v>117600</v>
      </c>
      <c r="P3" s="19">
        <v>117600</v>
      </c>
      <c r="Q3" s="19">
        <v>117600</v>
      </c>
      <c r="R3" s="19">
        <v>117600</v>
      </c>
      <c r="S3" s="19">
        <v>117600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</row>
    <row r="4" spans="1:28" ht="38.25" x14ac:dyDescent="0.2">
      <c r="A4" s="6">
        <v>146</v>
      </c>
      <c r="B4" s="18"/>
      <c r="C4" s="18"/>
      <c r="D4" s="18" t="s">
        <v>188</v>
      </c>
      <c r="E4" s="18" t="s">
        <v>187</v>
      </c>
      <c r="F4" s="18" t="s">
        <v>5</v>
      </c>
      <c r="G4" s="18"/>
      <c r="H4" s="18"/>
      <c r="I4" s="18"/>
      <c r="J4" s="18">
        <v>90</v>
      </c>
      <c r="K4" s="19">
        <v>705600</v>
      </c>
      <c r="L4" s="19">
        <v>635040</v>
      </c>
      <c r="M4" s="19">
        <v>70560</v>
      </c>
      <c r="N4" s="19">
        <v>117600</v>
      </c>
      <c r="O4" s="19">
        <v>117600</v>
      </c>
      <c r="P4" s="19">
        <v>117600</v>
      </c>
      <c r="Q4" s="19">
        <v>117600</v>
      </c>
      <c r="R4" s="19">
        <v>117600</v>
      </c>
      <c r="S4" s="19">
        <v>117600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</row>
    <row r="5" spans="1:28" ht="38.25" x14ac:dyDescent="0.2">
      <c r="A5" s="6">
        <v>147</v>
      </c>
      <c r="B5" s="18"/>
      <c r="C5" s="18"/>
      <c r="D5" s="18" t="s">
        <v>189</v>
      </c>
      <c r="E5" s="18" t="s">
        <v>187</v>
      </c>
      <c r="F5" s="18" t="s">
        <v>8</v>
      </c>
      <c r="G5" s="18"/>
      <c r="H5" s="18"/>
      <c r="I5" s="18"/>
      <c r="J5" s="18">
        <v>90</v>
      </c>
      <c r="K5" s="19">
        <v>705600</v>
      </c>
      <c r="L5" s="19">
        <v>635040</v>
      </c>
      <c r="M5" s="19">
        <v>70560</v>
      </c>
      <c r="N5" s="19">
        <v>117600</v>
      </c>
      <c r="O5" s="19">
        <v>117600</v>
      </c>
      <c r="P5" s="19">
        <v>117600</v>
      </c>
      <c r="Q5" s="19">
        <v>117600</v>
      </c>
      <c r="R5" s="19">
        <v>117600</v>
      </c>
      <c r="S5" s="19">
        <v>117600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2">
        <v>0</v>
      </c>
    </row>
    <row r="6" spans="1:28" ht="38.25" x14ac:dyDescent="0.2">
      <c r="A6" s="6">
        <v>148</v>
      </c>
      <c r="B6" s="9">
        <v>49</v>
      </c>
      <c r="C6" s="9">
        <v>0</v>
      </c>
      <c r="D6" s="9" t="s">
        <v>190</v>
      </c>
      <c r="E6" s="9" t="s">
        <v>187</v>
      </c>
      <c r="F6" s="9" t="s">
        <v>11</v>
      </c>
      <c r="G6" s="9"/>
      <c r="H6" s="9" t="s">
        <v>191</v>
      </c>
      <c r="I6" s="9" t="s">
        <v>18</v>
      </c>
      <c r="J6" s="9">
        <v>90</v>
      </c>
      <c r="K6" s="10">
        <v>705600</v>
      </c>
      <c r="L6" s="10">
        <v>635040</v>
      </c>
      <c r="M6" s="10">
        <v>70560</v>
      </c>
      <c r="N6" s="10">
        <v>117600</v>
      </c>
      <c r="O6" s="10">
        <v>117600</v>
      </c>
      <c r="P6" s="10">
        <v>117600</v>
      </c>
      <c r="Q6" s="10">
        <v>117600</v>
      </c>
      <c r="R6" s="10">
        <v>117600</v>
      </c>
      <c r="S6" s="10">
        <v>117600</v>
      </c>
      <c r="T6" s="3"/>
      <c r="U6" s="3"/>
      <c r="V6" s="3"/>
      <c r="W6" s="3">
        <v>0</v>
      </c>
      <c r="X6" s="3">
        <v>0</v>
      </c>
      <c r="Y6" s="3">
        <v>0</v>
      </c>
      <c r="Z6" s="3">
        <v>0</v>
      </c>
      <c r="AA6" s="3">
        <v>0</v>
      </c>
      <c r="AB6" s="4">
        <v>0</v>
      </c>
    </row>
    <row r="7" spans="1:28" ht="25.5" x14ac:dyDescent="0.2">
      <c r="A7" s="6">
        <v>149</v>
      </c>
      <c r="B7" s="25"/>
      <c r="C7" s="25"/>
      <c r="D7" s="25" t="s">
        <v>192</v>
      </c>
      <c r="E7" s="25" t="s">
        <v>193</v>
      </c>
      <c r="F7" s="25" t="s">
        <v>2</v>
      </c>
      <c r="G7" s="25"/>
      <c r="H7" s="25"/>
      <c r="I7" s="25"/>
      <c r="J7" s="25">
        <v>75</v>
      </c>
      <c r="K7" s="26">
        <v>8040476.6600000001</v>
      </c>
      <c r="L7" s="26">
        <v>5727130</v>
      </c>
      <c r="M7" s="26">
        <v>1909043.34</v>
      </c>
      <c r="N7" s="26">
        <v>156783.47</v>
      </c>
      <c r="O7" s="26">
        <v>1164346.76</v>
      </c>
      <c r="P7" s="26">
        <v>1302896.18</v>
      </c>
      <c r="Q7" s="26">
        <v>1344160.94</v>
      </c>
      <c r="R7" s="26">
        <v>1603294.47</v>
      </c>
      <c r="S7" s="26">
        <v>2468994.84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2">
        <v>0</v>
      </c>
    </row>
    <row r="8" spans="1:28" ht="25.5" x14ac:dyDescent="0.2">
      <c r="A8" s="6">
        <v>149</v>
      </c>
      <c r="B8" s="18"/>
      <c r="C8" s="18"/>
      <c r="D8" s="18" t="s">
        <v>192</v>
      </c>
      <c r="E8" s="18" t="s">
        <v>193</v>
      </c>
      <c r="F8" s="18" t="s">
        <v>2</v>
      </c>
      <c r="G8" s="18"/>
      <c r="H8" s="18"/>
      <c r="I8" s="18"/>
      <c r="J8" s="18">
        <v>75</v>
      </c>
      <c r="K8" s="19">
        <v>8040476.6600000001</v>
      </c>
      <c r="L8" s="19">
        <v>5727130</v>
      </c>
      <c r="M8" s="19">
        <v>1909043.34</v>
      </c>
      <c r="N8" s="19">
        <v>156783.47</v>
      </c>
      <c r="O8" s="19">
        <v>1164346.76</v>
      </c>
      <c r="P8" s="19">
        <v>1302896.18</v>
      </c>
      <c r="Q8" s="19">
        <v>1344160.94</v>
      </c>
      <c r="R8" s="19">
        <v>1603294.47</v>
      </c>
      <c r="S8" s="19">
        <v>2468994.84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</row>
    <row r="9" spans="1:28" x14ac:dyDescent="0.2">
      <c r="A9" s="6"/>
      <c r="B9" s="25"/>
      <c r="C9" s="25"/>
      <c r="D9" s="25" t="s">
        <v>194</v>
      </c>
      <c r="E9" s="25" t="s">
        <v>195</v>
      </c>
      <c r="F9" s="25" t="s">
        <v>5</v>
      </c>
      <c r="G9" s="25"/>
      <c r="H9" s="25"/>
      <c r="I9" s="25"/>
      <c r="J9" s="25">
        <v>75</v>
      </c>
      <c r="K9" s="26">
        <v>7582305.9900000002</v>
      </c>
      <c r="L9" s="26">
        <v>5039874</v>
      </c>
      <c r="M9" s="26">
        <v>1679958</v>
      </c>
      <c r="N9" s="26">
        <v>75000</v>
      </c>
      <c r="O9" s="26">
        <v>1072483.54</v>
      </c>
      <c r="P9" s="26">
        <v>1227527.1100000001</v>
      </c>
      <c r="Q9" s="26">
        <v>1266042.8400000001</v>
      </c>
      <c r="R9" s="26">
        <v>1523801.86</v>
      </c>
      <c r="S9" s="26">
        <v>2417450.64</v>
      </c>
      <c r="T9" s="1"/>
      <c r="U9" s="1"/>
      <c r="V9" s="1"/>
      <c r="W9" s="1"/>
      <c r="X9" s="1"/>
      <c r="Y9" s="1"/>
      <c r="Z9" s="1"/>
      <c r="AA9" s="1"/>
      <c r="AB9" s="2"/>
    </row>
    <row r="10" spans="1:28" x14ac:dyDescent="0.2">
      <c r="A10" s="6">
        <v>150</v>
      </c>
      <c r="B10" s="18"/>
      <c r="C10" s="18"/>
      <c r="D10" s="18" t="s">
        <v>194</v>
      </c>
      <c r="E10" s="18" t="s">
        <v>195</v>
      </c>
      <c r="F10" s="18" t="s">
        <v>5</v>
      </c>
      <c r="G10" s="18"/>
      <c r="H10" s="18"/>
      <c r="I10" s="18"/>
      <c r="J10" s="18">
        <v>75</v>
      </c>
      <c r="K10" s="19">
        <v>7582305.9900000002</v>
      </c>
      <c r="L10" s="19">
        <v>5039874</v>
      </c>
      <c r="M10" s="19">
        <v>1679958</v>
      </c>
      <c r="N10" s="19">
        <v>75000</v>
      </c>
      <c r="O10" s="19">
        <v>1072483.54</v>
      </c>
      <c r="P10" s="19">
        <v>1227527.1100000001</v>
      </c>
      <c r="Q10" s="19">
        <v>1266042.8400000001</v>
      </c>
      <c r="R10" s="19">
        <v>1523801.86</v>
      </c>
      <c r="S10" s="19">
        <v>2417450.64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4">
        <v>0</v>
      </c>
    </row>
    <row r="11" spans="1:28" ht="38.25" x14ac:dyDescent="0.2">
      <c r="A11" s="6">
        <v>151</v>
      </c>
      <c r="B11" s="18"/>
      <c r="C11" s="18"/>
      <c r="D11" s="18" t="s">
        <v>196</v>
      </c>
      <c r="E11" s="18" t="s">
        <v>197</v>
      </c>
      <c r="F11" s="18" t="s">
        <v>8</v>
      </c>
      <c r="G11" s="18"/>
      <c r="H11" s="18"/>
      <c r="I11" s="18"/>
      <c r="J11" s="18">
        <v>75</v>
      </c>
      <c r="K11" s="19">
        <v>4382397.71</v>
      </c>
      <c r="L11" s="19">
        <v>3286798.28</v>
      </c>
      <c r="M11" s="19">
        <v>1095599.43</v>
      </c>
      <c r="N11" s="19">
        <v>0</v>
      </c>
      <c r="O11" s="19">
        <v>176483.55</v>
      </c>
      <c r="P11" s="19">
        <v>354527.11</v>
      </c>
      <c r="Q11" s="19">
        <v>683803.55</v>
      </c>
      <c r="R11" s="19">
        <v>1047867.36</v>
      </c>
      <c r="S11" s="19">
        <v>2119716.14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2">
        <v>0</v>
      </c>
    </row>
    <row r="12" spans="1:28" ht="38.25" x14ac:dyDescent="0.2">
      <c r="A12" s="6">
        <v>152</v>
      </c>
      <c r="B12" s="9">
        <v>50</v>
      </c>
      <c r="C12" s="9">
        <v>40</v>
      </c>
      <c r="D12" s="9" t="s">
        <v>198</v>
      </c>
      <c r="E12" s="9" t="s">
        <v>197</v>
      </c>
      <c r="F12" s="9" t="s">
        <v>11</v>
      </c>
      <c r="G12" s="9"/>
      <c r="H12" s="9" t="s">
        <v>191</v>
      </c>
      <c r="I12" s="9" t="s">
        <v>18</v>
      </c>
      <c r="J12" s="9">
        <v>75</v>
      </c>
      <c r="K12" s="10">
        <v>4082277.71</v>
      </c>
      <c r="L12" s="10">
        <v>3061708.28</v>
      </c>
      <c r="M12" s="10">
        <v>1020569.43</v>
      </c>
      <c r="N12" s="10"/>
      <c r="O12" s="10">
        <v>103283.55</v>
      </c>
      <c r="P12" s="10">
        <v>208127.11</v>
      </c>
      <c r="Q12" s="10">
        <v>603283.55000000005</v>
      </c>
      <c r="R12" s="10">
        <v>1047867.36</v>
      </c>
      <c r="S12" s="10">
        <v>2119716.14</v>
      </c>
      <c r="T12" s="3"/>
      <c r="U12" s="3"/>
      <c r="V12" s="3"/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4">
        <v>0</v>
      </c>
    </row>
    <row r="13" spans="1:28" ht="102" x14ac:dyDescent="0.2">
      <c r="A13" s="6">
        <v>153</v>
      </c>
      <c r="B13" s="14"/>
      <c r="C13" s="14">
        <v>40</v>
      </c>
      <c r="D13" s="14" t="s">
        <v>199</v>
      </c>
      <c r="E13" s="14" t="s">
        <v>200</v>
      </c>
      <c r="F13" s="14" t="s">
        <v>15</v>
      </c>
      <c r="G13" s="14"/>
      <c r="H13" s="14"/>
      <c r="I13" s="14"/>
      <c r="J13" s="14">
        <v>75</v>
      </c>
      <c r="K13" s="15">
        <v>1962561.57</v>
      </c>
      <c r="L13" s="15">
        <v>1471921.17</v>
      </c>
      <c r="M13" s="15">
        <v>490640.4</v>
      </c>
      <c r="N13" s="15"/>
      <c r="O13" s="15">
        <v>103283.55</v>
      </c>
      <c r="P13" s="15">
        <v>208127.11</v>
      </c>
      <c r="Q13" s="15">
        <v>603283.55000000005</v>
      </c>
      <c r="R13" s="15">
        <v>1047867.36</v>
      </c>
      <c r="S13" s="15"/>
      <c r="T13" s="1"/>
      <c r="U13" s="1"/>
      <c r="V13" s="1"/>
      <c r="W13" s="1">
        <v>16084.15</v>
      </c>
      <c r="X13" s="1">
        <v>12063.09</v>
      </c>
      <c r="Y13" s="1">
        <v>0.82</v>
      </c>
      <c r="Z13" s="1">
        <v>12063.09</v>
      </c>
      <c r="AA13" s="1">
        <v>4021.06</v>
      </c>
      <c r="AB13" s="2">
        <v>0</v>
      </c>
    </row>
    <row r="14" spans="1:28" ht="51" x14ac:dyDescent="0.2">
      <c r="A14" s="6">
        <v>154</v>
      </c>
      <c r="B14" s="9">
        <v>51</v>
      </c>
      <c r="C14" s="9">
        <v>41</v>
      </c>
      <c r="D14" s="9" t="s">
        <v>201</v>
      </c>
      <c r="E14" s="9" t="s">
        <v>202</v>
      </c>
      <c r="F14" s="9" t="s">
        <v>11</v>
      </c>
      <c r="G14" s="9"/>
      <c r="H14" s="9" t="s">
        <v>191</v>
      </c>
      <c r="I14" s="9" t="s">
        <v>18</v>
      </c>
      <c r="J14" s="9">
        <v>75</v>
      </c>
      <c r="K14" s="10">
        <v>300120</v>
      </c>
      <c r="L14" s="10">
        <v>225090</v>
      </c>
      <c r="M14" s="10">
        <v>75030</v>
      </c>
      <c r="N14" s="10"/>
      <c r="O14" s="10">
        <v>73200</v>
      </c>
      <c r="P14" s="10">
        <v>146400</v>
      </c>
      <c r="Q14" s="10">
        <v>80520</v>
      </c>
      <c r="R14" s="10"/>
      <c r="S14" s="10"/>
      <c r="T14" s="3"/>
      <c r="U14" s="3"/>
      <c r="V14" s="3"/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4">
        <v>0</v>
      </c>
    </row>
    <row r="15" spans="1:28" ht="89.25" x14ac:dyDescent="0.2">
      <c r="A15" s="6">
        <v>155</v>
      </c>
      <c r="B15" s="22"/>
      <c r="C15" s="22">
        <v>41</v>
      </c>
      <c r="D15" s="22" t="s">
        <v>203</v>
      </c>
      <c r="E15" s="22" t="s">
        <v>204</v>
      </c>
      <c r="F15" s="22" t="s">
        <v>15</v>
      </c>
      <c r="G15" s="22"/>
      <c r="H15" s="22"/>
      <c r="I15" s="22"/>
      <c r="J15" s="22">
        <v>75</v>
      </c>
      <c r="K15" s="23">
        <v>300120</v>
      </c>
      <c r="L15" s="23">
        <v>225090</v>
      </c>
      <c r="M15" s="23">
        <v>75030</v>
      </c>
      <c r="N15" s="23"/>
      <c r="O15" s="23">
        <v>73200</v>
      </c>
      <c r="P15" s="23">
        <v>146400</v>
      </c>
      <c r="Q15" s="23">
        <v>80520</v>
      </c>
      <c r="R15" s="23"/>
      <c r="S15" s="23"/>
      <c r="T15" s="1"/>
      <c r="U15" s="1"/>
      <c r="V15" s="1"/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2">
        <v>0</v>
      </c>
    </row>
    <row r="16" spans="1:28" ht="51" x14ac:dyDescent="0.2">
      <c r="A16" s="6">
        <v>156</v>
      </c>
      <c r="B16" s="18"/>
      <c r="C16" s="18"/>
      <c r="D16" s="18" t="s">
        <v>205</v>
      </c>
      <c r="E16" s="18" t="s">
        <v>206</v>
      </c>
      <c r="F16" s="18" t="s">
        <v>8</v>
      </c>
      <c r="G16" s="18"/>
      <c r="H16" s="18"/>
      <c r="I16" s="18"/>
      <c r="J16" s="18">
        <v>75</v>
      </c>
      <c r="K16" s="19">
        <v>1686314.29</v>
      </c>
      <c r="L16" s="19">
        <v>1264735.72</v>
      </c>
      <c r="M16" s="19">
        <v>421578.57</v>
      </c>
      <c r="N16" s="19">
        <v>25000</v>
      </c>
      <c r="O16" s="19">
        <v>420000</v>
      </c>
      <c r="P16" s="19">
        <v>578000</v>
      </c>
      <c r="Q16" s="19">
        <v>335114.28999999998</v>
      </c>
      <c r="R16" s="19">
        <v>253200</v>
      </c>
      <c r="S16" s="19">
        <v>75000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4">
        <v>0</v>
      </c>
    </row>
    <row r="17" spans="1:28" ht="38.25" x14ac:dyDescent="0.2">
      <c r="A17" s="6">
        <v>157</v>
      </c>
      <c r="B17" s="9">
        <v>52</v>
      </c>
      <c r="C17" s="9">
        <v>42</v>
      </c>
      <c r="D17" s="9" t="s">
        <v>207</v>
      </c>
      <c r="E17" s="9" t="s">
        <v>208</v>
      </c>
      <c r="F17" s="9" t="s">
        <v>11</v>
      </c>
      <c r="G17" s="9"/>
      <c r="H17" s="9" t="s">
        <v>191</v>
      </c>
      <c r="I17" s="9" t="s">
        <v>18</v>
      </c>
      <c r="J17" s="9">
        <v>75</v>
      </c>
      <c r="K17" s="10">
        <v>1288314.29</v>
      </c>
      <c r="L17" s="10">
        <v>966235.72</v>
      </c>
      <c r="M17" s="10">
        <v>322078.57</v>
      </c>
      <c r="N17" s="10">
        <v>25000</v>
      </c>
      <c r="O17" s="10">
        <v>250000</v>
      </c>
      <c r="P17" s="10">
        <v>350000</v>
      </c>
      <c r="Q17" s="10">
        <v>335114.28999999998</v>
      </c>
      <c r="R17" s="10">
        <v>253200</v>
      </c>
      <c r="S17" s="10">
        <v>75000</v>
      </c>
      <c r="T17" s="1"/>
      <c r="U17" s="1"/>
      <c r="V17" s="1"/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2">
        <v>0</v>
      </c>
    </row>
    <row r="18" spans="1:28" ht="38.25" x14ac:dyDescent="0.2">
      <c r="A18" s="6">
        <v>158</v>
      </c>
      <c r="B18" s="8"/>
      <c r="C18" s="8">
        <v>42</v>
      </c>
      <c r="D18" s="8" t="s">
        <v>209</v>
      </c>
      <c r="E18" s="8" t="s">
        <v>208</v>
      </c>
      <c r="F18" s="8" t="s">
        <v>15</v>
      </c>
      <c r="G18" s="8"/>
      <c r="H18" s="8"/>
      <c r="I18" s="8"/>
      <c r="J18" s="8">
        <v>75</v>
      </c>
      <c r="K18" s="12">
        <v>960114.29</v>
      </c>
      <c r="L18" s="12">
        <v>720085.71</v>
      </c>
      <c r="M18" s="12">
        <v>240028.58</v>
      </c>
      <c r="N18" s="12">
        <v>25000</v>
      </c>
      <c r="O18" s="12">
        <v>250000</v>
      </c>
      <c r="P18" s="12">
        <v>350000</v>
      </c>
      <c r="Q18" s="12">
        <v>335114.28999999998</v>
      </c>
      <c r="R18" s="12"/>
      <c r="S18" s="12"/>
      <c r="T18" s="3"/>
      <c r="U18" s="3"/>
      <c r="V18" s="3"/>
      <c r="W18" s="3">
        <v>22428.48</v>
      </c>
      <c r="X18" s="3">
        <v>16821.36</v>
      </c>
      <c r="Y18" s="3">
        <v>2.34</v>
      </c>
      <c r="Z18" s="3">
        <v>16821.36</v>
      </c>
      <c r="AA18" s="3">
        <v>5607.12</v>
      </c>
      <c r="AB18" s="4">
        <v>0</v>
      </c>
    </row>
    <row r="19" spans="1:28" ht="25.5" x14ac:dyDescent="0.2">
      <c r="A19" s="6">
        <v>159</v>
      </c>
      <c r="B19" s="9">
        <v>53</v>
      </c>
      <c r="C19" s="9">
        <v>43</v>
      </c>
      <c r="D19" s="9" t="s">
        <v>210</v>
      </c>
      <c r="E19" s="9" t="s">
        <v>211</v>
      </c>
      <c r="F19" s="9" t="s">
        <v>11</v>
      </c>
      <c r="G19" s="9"/>
      <c r="H19" s="9" t="s">
        <v>191</v>
      </c>
      <c r="I19" s="9" t="s">
        <v>18</v>
      </c>
      <c r="J19" s="9">
        <v>75</v>
      </c>
      <c r="K19" s="10">
        <v>398000</v>
      </c>
      <c r="L19" s="10">
        <v>298500</v>
      </c>
      <c r="M19" s="10">
        <v>99500</v>
      </c>
      <c r="N19" s="10"/>
      <c r="O19" s="10">
        <v>170000</v>
      </c>
      <c r="P19" s="10">
        <v>228000</v>
      </c>
      <c r="Q19" s="10"/>
      <c r="R19" s="10"/>
      <c r="S19" s="10"/>
      <c r="T19" s="1"/>
      <c r="U19" s="1"/>
      <c r="V19" s="1"/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2">
        <v>0</v>
      </c>
    </row>
    <row r="20" spans="1:28" ht="25.5" x14ac:dyDescent="0.2">
      <c r="A20" s="6">
        <v>160</v>
      </c>
      <c r="B20" s="8"/>
      <c r="C20" s="8">
        <v>43</v>
      </c>
      <c r="D20" s="8" t="s">
        <v>212</v>
      </c>
      <c r="E20" s="8" t="s">
        <v>211</v>
      </c>
      <c r="F20" s="8" t="s">
        <v>15</v>
      </c>
      <c r="G20" s="8"/>
      <c r="H20" s="8"/>
      <c r="I20" s="8"/>
      <c r="J20" s="8">
        <v>75</v>
      </c>
      <c r="K20" s="12">
        <v>398000</v>
      </c>
      <c r="L20" s="12">
        <v>298500</v>
      </c>
      <c r="M20" s="12">
        <v>99500</v>
      </c>
      <c r="N20" s="12"/>
      <c r="O20" s="12">
        <v>170000</v>
      </c>
      <c r="P20" s="12">
        <v>0</v>
      </c>
      <c r="Q20" s="12">
        <v>228000</v>
      </c>
      <c r="R20" s="12"/>
      <c r="S20" s="12"/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</row>
    <row r="21" spans="1:28" ht="51" x14ac:dyDescent="0.2">
      <c r="A21" s="6">
        <v>161</v>
      </c>
      <c r="B21" s="18"/>
      <c r="C21" s="18"/>
      <c r="D21" s="18" t="s">
        <v>213</v>
      </c>
      <c r="E21" s="18" t="s">
        <v>214</v>
      </c>
      <c r="F21" s="18" t="s">
        <v>8</v>
      </c>
      <c r="G21" s="18"/>
      <c r="H21" s="18"/>
      <c r="I21" s="18"/>
      <c r="J21" s="18">
        <v>75</v>
      </c>
      <c r="K21" s="19">
        <v>987594</v>
      </c>
      <c r="L21" s="19">
        <v>740695.5</v>
      </c>
      <c r="M21" s="19">
        <v>246898.5</v>
      </c>
      <c r="N21" s="19">
        <v>50000</v>
      </c>
      <c r="O21" s="19">
        <v>270000</v>
      </c>
      <c r="P21" s="19">
        <v>215000</v>
      </c>
      <c r="Q21" s="19">
        <v>167125</v>
      </c>
      <c r="R21" s="19">
        <v>142734.5</v>
      </c>
      <c r="S21" s="19">
        <v>142734.5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2">
        <v>0</v>
      </c>
    </row>
    <row r="22" spans="1:28" ht="51" x14ac:dyDescent="0.2">
      <c r="A22" s="6">
        <v>162</v>
      </c>
      <c r="B22" s="9">
        <v>54</v>
      </c>
      <c r="C22" s="9">
        <v>44</v>
      </c>
      <c r="D22" s="9" t="s">
        <v>215</v>
      </c>
      <c r="E22" s="9" t="s">
        <v>216</v>
      </c>
      <c r="F22" s="9" t="s">
        <v>11</v>
      </c>
      <c r="G22" s="9"/>
      <c r="H22" s="9" t="s">
        <v>191</v>
      </c>
      <c r="I22" s="9" t="s">
        <v>18</v>
      </c>
      <c r="J22" s="9">
        <v>75</v>
      </c>
      <c r="K22" s="10">
        <v>987594</v>
      </c>
      <c r="L22" s="10">
        <v>740695.5</v>
      </c>
      <c r="M22" s="10">
        <v>246898.5</v>
      </c>
      <c r="N22" s="10">
        <v>50000</v>
      </c>
      <c r="O22" s="10">
        <v>270000</v>
      </c>
      <c r="P22" s="10">
        <v>215000</v>
      </c>
      <c r="Q22" s="10">
        <v>167125</v>
      </c>
      <c r="R22" s="10">
        <v>142734.5</v>
      </c>
      <c r="S22" s="10">
        <v>142734.5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</row>
    <row r="23" spans="1:28" ht="51" x14ac:dyDescent="0.2">
      <c r="A23" s="6">
        <v>163</v>
      </c>
      <c r="B23" s="22"/>
      <c r="C23" s="22">
        <v>44</v>
      </c>
      <c r="D23" s="22" t="s">
        <v>217</v>
      </c>
      <c r="E23" s="22" t="s">
        <v>216</v>
      </c>
      <c r="F23" s="22" t="s">
        <v>15</v>
      </c>
      <c r="G23" s="22"/>
      <c r="H23" s="22"/>
      <c r="I23" s="22"/>
      <c r="J23" s="22">
        <v>75</v>
      </c>
      <c r="K23" s="23">
        <v>702125</v>
      </c>
      <c r="L23" s="23">
        <v>526593.75</v>
      </c>
      <c r="M23" s="23">
        <v>175531.25</v>
      </c>
      <c r="N23" s="23">
        <v>50000</v>
      </c>
      <c r="O23" s="23">
        <v>270000</v>
      </c>
      <c r="P23" s="23">
        <v>215000</v>
      </c>
      <c r="Q23" s="23">
        <v>167125</v>
      </c>
      <c r="R23" s="23"/>
      <c r="S23" s="23"/>
      <c r="T23" s="1"/>
      <c r="U23" s="1"/>
      <c r="V23" s="1"/>
      <c r="W23" s="1">
        <v>163321.56</v>
      </c>
      <c r="X23" s="1">
        <v>122491.15</v>
      </c>
      <c r="Y23" s="1">
        <v>23.26</v>
      </c>
      <c r="Z23" s="1">
        <v>122491.15</v>
      </c>
      <c r="AA23" s="1">
        <v>40830.410000000003</v>
      </c>
      <c r="AB23" s="2">
        <v>0</v>
      </c>
    </row>
    <row r="24" spans="1:28" ht="51" x14ac:dyDescent="0.2">
      <c r="A24" s="6">
        <v>164</v>
      </c>
      <c r="B24" s="18"/>
      <c r="C24" s="18"/>
      <c r="D24" s="18" t="s">
        <v>218</v>
      </c>
      <c r="E24" s="18" t="s">
        <v>219</v>
      </c>
      <c r="F24" s="18" t="s">
        <v>8</v>
      </c>
      <c r="G24" s="18"/>
      <c r="H24" s="18"/>
      <c r="I24" s="18"/>
      <c r="J24" s="18">
        <v>75</v>
      </c>
      <c r="K24" s="19">
        <v>275999.99</v>
      </c>
      <c r="L24" s="19">
        <v>206999.99</v>
      </c>
      <c r="M24" s="19">
        <v>69000</v>
      </c>
      <c r="N24" s="19">
        <v>0</v>
      </c>
      <c r="O24" s="19">
        <v>155999.99</v>
      </c>
      <c r="P24" s="19">
        <v>30000</v>
      </c>
      <c r="Q24" s="19">
        <v>30000</v>
      </c>
      <c r="R24" s="19">
        <v>30000</v>
      </c>
      <c r="S24" s="19">
        <v>30000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</row>
    <row r="25" spans="1:28" ht="25.5" x14ac:dyDescent="0.2">
      <c r="A25" s="6">
        <v>165</v>
      </c>
      <c r="B25" s="9">
        <v>55</v>
      </c>
      <c r="C25" s="9">
        <v>45</v>
      </c>
      <c r="D25" s="9" t="s">
        <v>221</v>
      </c>
      <c r="E25" s="9" t="s">
        <v>222</v>
      </c>
      <c r="F25" s="9" t="s">
        <v>11</v>
      </c>
      <c r="G25" s="9"/>
      <c r="H25" s="9" t="s">
        <v>191</v>
      </c>
      <c r="I25" s="9" t="s">
        <v>18</v>
      </c>
      <c r="J25" s="9">
        <v>75</v>
      </c>
      <c r="K25" s="10">
        <v>275999.99</v>
      </c>
      <c r="L25" s="10">
        <v>206999.99</v>
      </c>
      <c r="M25" s="10">
        <v>69000</v>
      </c>
      <c r="N25" s="10"/>
      <c r="O25" s="10">
        <v>155999.99</v>
      </c>
      <c r="P25" s="10">
        <v>30000</v>
      </c>
      <c r="Q25" s="10">
        <v>30000</v>
      </c>
      <c r="R25" s="10">
        <v>30000</v>
      </c>
      <c r="S25" s="10">
        <v>30000</v>
      </c>
      <c r="T25" s="1"/>
      <c r="U25" s="1"/>
      <c r="V25" s="1"/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2">
        <v>0</v>
      </c>
    </row>
    <row r="26" spans="1:28" ht="63.75" x14ac:dyDescent="0.2">
      <c r="A26" s="6">
        <v>166</v>
      </c>
      <c r="B26" s="8"/>
      <c r="C26" s="8">
        <v>45</v>
      </c>
      <c r="D26" s="8" t="s">
        <v>223</v>
      </c>
      <c r="E26" s="8" t="s">
        <v>220</v>
      </c>
      <c r="F26" s="8" t="s">
        <v>15</v>
      </c>
      <c r="G26" s="8"/>
      <c r="H26" s="8"/>
      <c r="I26" s="8"/>
      <c r="J26" s="8">
        <v>75</v>
      </c>
      <c r="K26" s="12">
        <v>215999.99</v>
      </c>
      <c r="L26" s="12">
        <v>161999.99</v>
      </c>
      <c r="M26" s="12">
        <v>54000</v>
      </c>
      <c r="N26" s="12"/>
      <c r="O26" s="12">
        <v>155999.99</v>
      </c>
      <c r="P26" s="12">
        <v>30000</v>
      </c>
      <c r="Q26" s="12">
        <v>30000</v>
      </c>
      <c r="R26" s="12"/>
      <c r="S26" s="12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</row>
    <row r="27" spans="1:28" ht="51" x14ac:dyDescent="0.2">
      <c r="A27" s="6">
        <v>167</v>
      </c>
      <c r="B27" s="18"/>
      <c r="C27" s="18"/>
      <c r="D27" s="18" t="s">
        <v>224</v>
      </c>
      <c r="E27" s="18" t="s">
        <v>225</v>
      </c>
      <c r="F27" s="18" t="s">
        <v>8</v>
      </c>
      <c r="G27" s="18"/>
      <c r="H27" s="18"/>
      <c r="I27" s="18"/>
      <c r="J27" s="18">
        <v>75</v>
      </c>
      <c r="K27" s="19">
        <v>250000</v>
      </c>
      <c r="L27" s="19">
        <v>187500</v>
      </c>
      <c r="M27" s="19">
        <v>62500</v>
      </c>
      <c r="N27" s="19">
        <v>0</v>
      </c>
      <c r="O27" s="19">
        <v>50000</v>
      </c>
      <c r="P27" s="19">
        <v>50000</v>
      </c>
      <c r="Q27" s="19">
        <v>50000</v>
      </c>
      <c r="R27" s="19">
        <v>50000</v>
      </c>
      <c r="S27" s="19">
        <v>50000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</row>
    <row r="28" spans="1:28" ht="51" x14ac:dyDescent="0.2">
      <c r="A28" s="6">
        <v>168</v>
      </c>
      <c r="B28" s="9">
        <v>56</v>
      </c>
      <c r="C28" s="9">
        <v>0</v>
      </c>
      <c r="D28" s="9" t="s">
        <v>226</v>
      </c>
      <c r="E28" s="9" t="s">
        <v>225</v>
      </c>
      <c r="F28" s="9" t="s">
        <v>11</v>
      </c>
      <c r="G28" s="9"/>
      <c r="H28" s="9" t="s">
        <v>191</v>
      </c>
      <c r="I28" s="9" t="s">
        <v>18</v>
      </c>
      <c r="J28" s="9">
        <v>75</v>
      </c>
      <c r="K28" s="10">
        <v>250000</v>
      </c>
      <c r="L28" s="10">
        <v>187500</v>
      </c>
      <c r="M28" s="10">
        <v>62500</v>
      </c>
      <c r="N28" s="10"/>
      <c r="O28" s="10">
        <v>50000</v>
      </c>
      <c r="P28" s="10">
        <v>50000</v>
      </c>
      <c r="Q28" s="10">
        <v>50000</v>
      </c>
      <c r="R28" s="10">
        <v>50000</v>
      </c>
      <c r="S28" s="10">
        <v>50000</v>
      </c>
      <c r="T28" s="3"/>
      <c r="U28" s="3"/>
      <c r="V28" s="3"/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4">
        <v>0</v>
      </c>
    </row>
    <row r="29" spans="1:28" ht="22.5" customHeight="1" x14ac:dyDescent="0.2">
      <c r="A29" s="6">
        <v>169</v>
      </c>
      <c r="B29" s="25"/>
      <c r="C29" s="25"/>
      <c r="D29" s="25" t="s">
        <v>227</v>
      </c>
      <c r="E29" s="25" t="s">
        <v>228</v>
      </c>
      <c r="F29" s="25" t="s">
        <v>5</v>
      </c>
      <c r="G29" s="25"/>
      <c r="H29" s="25"/>
      <c r="I29" s="25"/>
      <c r="J29" s="25">
        <v>75</v>
      </c>
      <c r="K29" s="26">
        <v>458170.67</v>
      </c>
      <c r="L29" s="26">
        <v>343628</v>
      </c>
      <c r="M29" s="26">
        <v>114542.67</v>
      </c>
      <c r="N29" s="26">
        <v>81783.47</v>
      </c>
      <c r="O29" s="26">
        <v>91863.22</v>
      </c>
      <c r="P29" s="26">
        <v>75369.070000000007</v>
      </c>
      <c r="Q29" s="26">
        <v>78118.100000000006</v>
      </c>
      <c r="R29" s="26">
        <v>79492.61</v>
      </c>
      <c r="S29" s="26">
        <v>51544.2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</row>
    <row r="30" spans="1:28" x14ac:dyDescent="0.2">
      <c r="A30" s="6">
        <v>169</v>
      </c>
      <c r="B30" s="18"/>
      <c r="C30" s="18"/>
      <c r="D30" s="18" t="s">
        <v>227</v>
      </c>
      <c r="E30" s="18" t="s">
        <v>228</v>
      </c>
      <c r="F30" s="18" t="s">
        <v>5</v>
      </c>
      <c r="G30" s="18"/>
      <c r="H30" s="18"/>
      <c r="I30" s="18"/>
      <c r="J30" s="18">
        <v>75</v>
      </c>
      <c r="K30" s="19">
        <v>458170.67</v>
      </c>
      <c r="L30" s="19">
        <v>343628</v>
      </c>
      <c r="M30" s="19">
        <v>114542.67</v>
      </c>
      <c r="N30" s="19">
        <v>81783.47</v>
      </c>
      <c r="O30" s="19">
        <v>91863.22</v>
      </c>
      <c r="P30" s="19">
        <v>75369.070000000007</v>
      </c>
      <c r="Q30" s="19">
        <v>78118.100000000006</v>
      </c>
      <c r="R30" s="19">
        <v>79492.61</v>
      </c>
      <c r="S30" s="19">
        <v>51544.2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2">
        <v>0</v>
      </c>
    </row>
    <row r="31" spans="1:28" ht="38.25" x14ac:dyDescent="0.2">
      <c r="A31" s="6">
        <v>170</v>
      </c>
      <c r="B31" s="18"/>
      <c r="C31" s="18"/>
      <c r="D31" s="18" t="s">
        <v>229</v>
      </c>
      <c r="E31" s="18" t="s">
        <v>230</v>
      </c>
      <c r="F31" s="18" t="s">
        <v>8</v>
      </c>
      <c r="G31" s="18"/>
      <c r="H31" s="18"/>
      <c r="I31" s="18"/>
      <c r="J31" s="18">
        <v>75</v>
      </c>
      <c r="K31" s="19">
        <v>132869.5</v>
      </c>
      <c r="L31" s="19">
        <v>99652.12</v>
      </c>
      <c r="M31" s="19">
        <v>33217.379999999997</v>
      </c>
      <c r="N31" s="19">
        <v>23717.21</v>
      </c>
      <c r="O31" s="19">
        <v>26640.33</v>
      </c>
      <c r="P31" s="19">
        <v>21857.03</v>
      </c>
      <c r="Q31" s="19">
        <v>22654.25</v>
      </c>
      <c r="R31" s="19">
        <v>23052.86</v>
      </c>
      <c r="S31" s="19">
        <v>14947.82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4">
        <v>0</v>
      </c>
    </row>
    <row r="32" spans="1:28" ht="38.25" x14ac:dyDescent="0.2">
      <c r="A32" s="6">
        <v>171</v>
      </c>
      <c r="B32" s="9">
        <v>57</v>
      </c>
      <c r="C32" s="9">
        <v>46</v>
      </c>
      <c r="D32" s="9" t="s">
        <v>231</v>
      </c>
      <c r="E32" s="9" t="s">
        <v>232</v>
      </c>
      <c r="F32" s="9" t="s">
        <v>11</v>
      </c>
      <c r="G32" s="9"/>
      <c r="H32" s="9" t="s">
        <v>191</v>
      </c>
      <c r="I32" s="9" t="s">
        <v>18</v>
      </c>
      <c r="J32" s="9">
        <v>75</v>
      </c>
      <c r="K32" s="10">
        <v>132869.5</v>
      </c>
      <c r="L32" s="10">
        <v>99652.12</v>
      </c>
      <c r="M32" s="10">
        <v>33217.379999999997</v>
      </c>
      <c r="N32" s="10">
        <v>23717.21</v>
      </c>
      <c r="O32" s="10">
        <v>26640.33</v>
      </c>
      <c r="P32" s="10">
        <v>21857.03</v>
      </c>
      <c r="Q32" s="10">
        <v>22654.25</v>
      </c>
      <c r="R32" s="10">
        <v>23052.86</v>
      </c>
      <c r="S32" s="10">
        <v>14947.82</v>
      </c>
      <c r="T32" s="1"/>
      <c r="U32" s="1"/>
      <c r="V32" s="1"/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2">
        <v>0</v>
      </c>
    </row>
    <row r="33" spans="1:28" ht="38.25" x14ac:dyDescent="0.2">
      <c r="A33" s="6">
        <v>172</v>
      </c>
      <c r="B33" s="8"/>
      <c r="C33" s="8">
        <v>46</v>
      </c>
      <c r="D33" s="8" t="s">
        <v>233</v>
      </c>
      <c r="E33" s="8" t="s">
        <v>232</v>
      </c>
      <c r="F33" s="8" t="s">
        <v>15</v>
      </c>
      <c r="G33" s="8"/>
      <c r="H33" s="8"/>
      <c r="I33" s="8"/>
      <c r="J33" s="8">
        <v>75</v>
      </c>
      <c r="K33" s="12">
        <v>94868.82</v>
      </c>
      <c r="L33" s="12">
        <v>71151.61</v>
      </c>
      <c r="M33" s="12">
        <v>23717.21</v>
      </c>
      <c r="N33" s="12">
        <v>23717.21</v>
      </c>
      <c r="O33" s="12">
        <v>26640.33</v>
      </c>
      <c r="P33" s="12">
        <v>21857.03</v>
      </c>
      <c r="Q33" s="12">
        <v>22654.25</v>
      </c>
      <c r="R33" s="12"/>
      <c r="S33" s="12"/>
      <c r="T33" s="3"/>
      <c r="U33" s="3"/>
      <c r="V33" s="3"/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4">
        <v>0</v>
      </c>
    </row>
    <row r="34" spans="1:28" ht="51" x14ac:dyDescent="0.2">
      <c r="A34" s="6">
        <v>173</v>
      </c>
      <c r="B34" s="18"/>
      <c r="C34" s="18"/>
      <c r="D34" s="18" t="s">
        <v>234</v>
      </c>
      <c r="E34" s="18" t="s">
        <v>235</v>
      </c>
      <c r="F34" s="18" t="s">
        <v>8</v>
      </c>
      <c r="G34" s="18"/>
      <c r="H34" s="18"/>
      <c r="I34" s="18"/>
      <c r="J34" s="18">
        <v>75</v>
      </c>
      <c r="K34" s="19">
        <v>403190.19</v>
      </c>
      <c r="L34" s="19">
        <v>302392.64</v>
      </c>
      <c r="M34" s="19">
        <v>100797.55</v>
      </c>
      <c r="N34" s="19">
        <v>71969.45</v>
      </c>
      <c r="O34" s="19">
        <v>80839.63</v>
      </c>
      <c r="P34" s="19">
        <v>66324.78</v>
      </c>
      <c r="Q34" s="19">
        <v>68743.929999999993</v>
      </c>
      <c r="R34" s="19">
        <v>69953.5</v>
      </c>
      <c r="S34" s="19">
        <v>45358.9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2">
        <v>0</v>
      </c>
    </row>
    <row r="35" spans="1:28" ht="25.5" x14ac:dyDescent="0.2">
      <c r="A35" s="6">
        <v>174</v>
      </c>
      <c r="B35" s="9">
        <v>58</v>
      </c>
      <c r="C35" s="9">
        <v>47</v>
      </c>
      <c r="D35" s="9" t="s">
        <v>236</v>
      </c>
      <c r="E35" s="9" t="s">
        <v>237</v>
      </c>
      <c r="F35" s="9" t="s">
        <v>11</v>
      </c>
      <c r="G35" s="9"/>
      <c r="H35" s="9" t="s">
        <v>191</v>
      </c>
      <c r="I35" s="9" t="s">
        <v>18</v>
      </c>
      <c r="J35" s="9">
        <v>75</v>
      </c>
      <c r="K35" s="10">
        <v>403190.19</v>
      </c>
      <c r="L35" s="10">
        <v>302392.64</v>
      </c>
      <c r="M35" s="10">
        <v>100797.55</v>
      </c>
      <c r="N35" s="10">
        <v>71969.45</v>
      </c>
      <c r="O35" s="10">
        <v>80839.63</v>
      </c>
      <c r="P35" s="10">
        <v>66324.78</v>
      </c>
      <c r="Q35" s="10">
        <v>68743.929999999993</v>
      </c>
      <c r="R35" s="10">
        <v>69953.5</v>
      </c>
      <c r="S35" s="10">
        <v>45358.9</v>
      </c>
      <c r="T35" s="3"/>
      <c r="U35" s="3"/>
      <c r="V35" s="3"/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4">
        <v>0</v>
      </c>
    </row>
    <row r="36" spans="1:28" ht="89.25" x14ac:dyDescent="0.2">
      <c r="A36" s="6">
        <v>175</v>
      </c>
      <c r="B36" s="14"/>
      <c r="C36" s="14">
        <v>47</v>
      </c>
      <c r="D36" s="14" t="s">
        <v>238</v>
      </c>
      <c r="E36" s="14" t="s">
        <v>239</v>
      </c>
      <c r="F36" s="14" t="s">
        <v>15</v>
      </c>
      <c r="G36" s="14"/>
      <c r="H36" s="14"/>
      <c r="I36" s="14"/>
      <c r="J36" s="14">
        <v>75</v>
      </c>
      <c r="K36" s="15">
        <v>287877.78999999998</v>
      </c>
      <c r="L36" s="15">
        <v>215908.34</v>
      </c>
      <c r="M36" s="15">
        <v>71969.45</v>
      </c>
      <c r="N36" s="15">
        <v>71969.45</v>
      </c>
      <c r="O36" s="15">
        <v>80839.63</v>
      </c>
      <c r="P36" s="15">
        <v>66324.78</v>
      </c>
      <c r="Q36" s="15">
        <v>68743.929999999993</v>
      </c>
      <c r="R36" s="15"/>
      <c r="S36" s="15"/>
      <c r="T36" s="1"/>
      <c r="U36" s="1"/>
      <c r="V36" s="1"/>
      <c r="W36" s="1">
        <v>5081.8100000000004</v>
      </c>
      <c r="X36" s="1">
        <v>3811.28</v>
      </c>
      <c r="Y36" s="1">
        <v>1.77</v>
      </c>
      <c r="Z36" s="1">
        <v>0</v>
      </c>
      <c r="AA36" s="1">
        <v>5081.8100000000004</v>
      </c>
      <c r="AB36" s="2">
        <v>0</v>
      </c>
    </row>
    <row r="37" spans="1:28" ht="38.25" x14ac:dyDescent="0.2">
      <c r="A37" s="6">
        <v>176</v>
      </c>
      <c r="B37" s="18"/>
      <c r="C37" s="18"/>
      <c r="D37" s="18" t="s">
        <v>240</v>
      </c>
      <c r="E37" s="18" t="s">
        <v>241</v>
      </c>
      <c r="F37" s="18" t="s">
        <v>8</v>
      </c>
      <c r="G37" s="18"/>
      <c r="H37" s="18"/>
      <c r="I37" s="18"/>
      <c r="J37" s="18">
        <v>75</v>
      </c>
      <c r="K37" s="19">
        <v>54980.480000000003</v>
      </c>
      <c r="L37" s="19">
        <v>41235.360000000001</v>
      </c>
      <c r="M37" s="19">
        <v>13745.12</v>
      </c>
      <c r="N37" s="19">
        <v>9814.02</v>
      </c>
      <c r="O37" s="19">
        <v>11023.59</v>
      </c>
      <c r="P37" s="19">
        <v>9044.2900000000009</v>
      </c>
      <c r="Q37" s="19">
        <v>9374.17</v>
      </c>
      <c r="R37" s="19">
        <v>9539.11</v>
      </c>
      <c r="S37" s="19">
        <v>6185.3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4">
        <v>0</v>
      </c>
    </row>
    <row r="38" spans="1:28" ht="25.5" x14ac:dyDescent="0.2">
      <c r="A38" s="6">
        <v>177</v>
      </c>
      <c r="B38" s="9">
        <v>59</v>
      </c>
      <c r="C38" s="9">
        <v>48</v>
      </c>
      <c r="D38" s="9" t="s">
        <v>243</v>
      </c>
      <c r="E38" s="9" t="s">
        <v>244</v>
      </c>
      <c r="F38" s="9" t="s">
        <v>11</v>
      </c>
      <c r="G38" s="9"/>
      <c r="H38" s="9" t="s">
        <v>191</v>
      </c>
      <c r="I38" s="9" t="s">
        <v>18</v>
      </c>
      <c r="J38" s="9">
        <v>75</v>
      </c>
      <c r="K38" s="10">
        <v>54980.480000000003</v>
      </c>
      <c r="L38" s="10">
        <v>41235.360000000001</v>
      </c>
      <c r="M38" s="10">
        <v>13745.12</v>
      </c>
      <c r="N38" s="10">
        <v>9814.02</v>
      </c>
      <c r="O38" s="10">
        <v>11023.59</v>
      </c>
      <c r="P38" s="10">
        <v>9044.2900000000009</v>
      </c>
      <c r="Q38" s="10">
        <v>9374.17</v>
      </c>
      <c r="R38" s="10">
        <v>9539.11</v>
      </c>
      <c r="S38" s="10">
        <v>6185.3</v>
      </c>
      <c r="T38" s="1"/>
      <c r="U38" s="1"/>
      <c r="V38" s="1"/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2">
        <v>0</v>
      </c>
    </row>
    <row r="39" spans="1:28" ht="89.25" x14ac:dyDescent="0.2">
      <c r="A39" s="6">
        <v>178</v>
      </c>
      <c r="B39" s="8"/>
      <c r="C39" s="8">
        <v>48</v>
      </c>
      <c r="D39" s="8" t="s">
        <v>245</v>
      </c>
      <c r="E39" s="8" t="s">
        <v>242</v>
      </c>
      <c r="F39" s="8" t="s">
        <v>15</v>
      </c>
      <c r="G39" s="8"/>
      <c r="H39" s="8"/>
      <c r="I39" s="8"/>
      <c r="J39" s="8">
        <v>75</v>
      </c>
      <c r="K39" s="12">
        <v>29881.9</v>
      </c>
      <c r="L39" s="12">
        <v>22411.42</v>
      </c>
      <c r="M39" s="12">
        <v>7470.48</v>
      </c>
      <c r="N39" s="12">
        <v>9814.02</v>
      </c>
      <c r="O39" s="12">
        <v>11023.59</v>
      </c>
      <c r="P39" s="12">
        <v>9044.2900000000009</v>
      </c>
      <c r="Q39" s="12"/>
      <c r="R39" s="12"/>
      <c r="S39" s="12"/>
      <c r="T39" s="3"/>
      <c r="U39" s="3"/>
      <c r="V39" s="3"/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4">
        <v>0</v>
      </c>
    </row>
    <row r="40" spans="1:28" x14ac:dyDescent="0.2">
      <c r="A40" s="6">
        <v>179</v>
      </c>
      <c r="B40" s="25"/>
      <c r="C40" s="25"/>
      <c r="D40" s="25" t="s">
        <v>246</v>
      </c>
      <c r="E40" s="25" t="s">
        <v>247</v>
      </c>
      <c r="F40" s="25" t="s">
        <v>5</v>
      </c>
      <c r="G40" s="25"/>
      <c r="H40" s="25"/>
      <c r="I40" s="25"/>
      <c r="J40" s="25">
        <v>75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/>
      <c r="Z40" s="1">
        <v>0</v>
      </c>
      <c r="AA40" s="1">
        <v>0</v>
      </c>
      <c r="AB40" s="2">
        <v>0</v>
      </c>
    </row>
    <row r="41" spans="1:28" x14ac:dyDescent="0.2">
      <c r="A41" s="6">
        <v>179</v>
      </c>
      <c r="B41" s="18"/>
      <c r="C41" s="18"/>
      <c r="D41" s="18" t="s">
        <v>246</v>
      </c>
      <c r="E41" s="18" t="s">
        <v>247</v>
      </c>
      <c r="F41" s="18" t="s">
        <v>5</v>
      </c>
      <c r="G41" s="18"/>
      <c r="H41" s="18"/>
      <c r="I41" s="18"/>
      <c r="J41" s="18">
        <v>75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/>
      <c r="Z41" s="1">
        <v>0</v>
      </c>
      <c r="AA41" s="1">
        <v>0</v>
      </c>
      <c r="AB41" s="2">
        <v>0</v>
      </c>
    </row>
    <row r="42" spans="1:28" ht="38.25" x14ac:dyDescent="0.2">
      <c r="A42" s="6">
        <v>180</v>
      </c>
      <c r="B42" s="18"/>
      <c r="C42" s="18"/>
      <c r="D42" s="18" t="s">
        <v>248</v>
      </c>
      <c r="E42" s="18" t="s">
        <v>249</v>
      </c>
      <c r="F42" s="18" t="s">
        <v>8</v>
      </c>
      <c r="G42" s="18"/>
      <c r="H42" s="18"/>
      <c r="I42" s="18"/>
      <c r="J42" s="18"/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/>
      <c r="Z42" s="3">
        <v>0</v>
      </c>
      <c r="AA42" s="3">
        <v>0</v>
      </c>
      <c r="AB42" s="4">
        <v>0</v>
      </c>
    </row>
    <row r="43" spans="1:28" ht="38.25" x14ac:dyDescent="0.2">
      <c r="A43" s="6">
        <v>181</v>
      </c>
      <c r="B43" s="11">
        <v>60</v>
      </c>
      <c r="C43" s="11">
        <v>0</v>
      </c>
      <c r="D43" s="11" t="s">
        <v>250</v>
      </c>
      <c r="E43" s="11" t="s">
        <v>251</v>
      </c>
      <c r="F43" s="11" t="s">
        <v>11</v>
      </c>
      <c r="G43" s="11"/>
      <c r="H43" s="11" t="s">
        <v>191</v>
      </c>
      <c r="I43" s="11" t="s">
        <v>18</v>
      </c>
      <c r="J43" s="11"/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"/>
      <c r="U43" s="1"/>
      <c r="V43" s="1"/>
      <c r="W43" s="1">
        <v>0</v>
      </c>
      <c r="X43" s="1">
        <v>0</v>
      </c>
      <c r="Y43" s="1"/>
      <c r="Z43" s="1">
        <v>0</v>
      </c>
      <c r="AA43" s="1">
        <v>0</v>
      </c>
      <c r="AB43" s="2">
        <v>0</v>
      </c>
    </row>
    <row r="44" spans="1:28" x14ac:dyDescent="0.2">
      <c r="A44" s="6">
        <v>182</v>
      </c>
      <c r="B44" s="8"/>
      <c r="C44" s="8"/>
      <c r="D44" s="8" t="s">
        <v>252</v>
      </c>
      <c r="E44" s="8" t="s">
        <v>253</v>
      </c>
      <c r="F44" s="8" t="s">
        <v>2</v>
      </c>
      <c r="G44" s="8"/>
      <c r="H44" s="8"/>
      <c r="I44" s="8"/>
      <c r="J44" s="8">
        <v>75</v>
      </c>
      <c r="K44" s="12">
        <v>15477054.01</v>
      </c>
      <c r="L44" s="12">
        <v>11911018</v>
      </c>
      <c r="M44" s="12">
        <v>3970339.34</v>
      </c>
      <c r="N44" s="12">
        <v>500000</v>
      </c>
      <c r="O44" s="12">
        <v>3795950</v>
      </c>
      <c r="P44" s="12">
        <v>3005000</v>
      </c>
      <c r="Q44" s="12">
        <v>1255700</v>
      </c>
      <c r="R44" s="12">
        <v>2403000</v>
      </c>
      <c r="S44" s="12">
        <v>1835700</v>
      </c>
      <c r="T44" s="3">
        <v>301000</v>
      </c>
      <c r="U44" s="3">
        <v>2380704.0099999998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</row>
    <row r="45" spans="1:28" x14ac:dyDescent="0.2">
      <c r="A45" s="6">
        <v>183</v>
      </c>
      <c r="B45" s="11"/>
      <c r="C45" s="11"/>
      <c r="D45" s="11" t="s">
        <v>254</v>
      </c>
      <c r="E45" s="11" t="s">
        <v>255</v>
      </c>
      <c r="F45" s="11" t="s">
        <v>5</v>
      </c>
      <c r="G45" s="11"/>
      <c r="H45" s="11"/>
      <c r="I45" s="11"/>
      <c r="J45" s="11">
        <v>75</v>
      </c>
      <c r="K45" s="13">
        <v>1627723.34</v>
      </c>
      <c r="L45" s="13">
        <v>1524020</v>
      </c>
      <c r="M45" s="13">
        <v>508006.67</v>
      </c>
      <c r="N45" s="13">
        <v>0</v>
      </c>
      <c r="O45" s="13">
        <v>1315000</v>
      </c>
      <c r="P45" s="13">
        <v>15000</v>
      </c>
      <c r="Q45" s="13">
        <v>15000</v>
      </c>
      <c r="R45" s="13">
        <v>15000</v>
      </c>
      <c r="S45" s="13">
        <v>15000</v>
      </c>
      <c r="T45" s="1">
        <v>0</v>
      </c>
      <c r="U45" s="1">
        <v>252723.34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</row>
    <row r="46" spans="1:28" ht="51" x14ac:dyDescent="0.2">
      <c r="A46" s="6">
        <v>184</v>
      </c>
      <c r="B46" s="8"/>
      <c r="C46" s="8"/>
      <c r="D46" s="8" t="s">
        <v>256</v>
      </c>
      <c r="E46" s="8" t="s">
        <v>257</v>
      </c>
      <c r="F46" s="8" t="s">
        <v>8</v>
      </c>
      <c r="G46" s="8"/>
      <c r="H46" s="8"/>
      <c r="I46" s="8"/>
      <c r="J46" s="8">
        <v>75</v>
      </c>
      <c r="K46" s="12">
        <v>252723.34</v>
      </c>
      <c r="L46" s="12">
        <v>189542.5</v>
      </c>
      <c r="M46" s="12">
        <v>63180.84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3">
        <v>0</v>
      </c>
      <c r="U46" s="3">
        <v>252723.34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</row>
    <row r="47" spans="1:28" ht="51" x14ac:dyDescent="0.2">
      <c r="A47" s="6">
        <v>186</v>
      </c>
      <c r="B47" s="8"/>
      <c r="C47" s="8"/>
      <c r="D47" s="8" t="s">
        <v>258</v>
      </c>
      <c r="E47" s="8" t="s">
        <v>259</v>
      </c>
      <c r="F47" s="8" t="s">
        <v>8</v>
      </c>
      <c r="G47" s="8"/>
      <c r="H47" s="8"/>
      <c r="I47" s="8"/>
      <c r="J47" s="8"/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/>
      <c r="Z47" s="3">
        <v>0</v>
      </c>
      <c r="AA47" s="3">
        <v>0</v>
      </c>
      <c r="AB47" s="4">
        <v>0</v>
      </c>
    </row>
    <row r="48" spans="1:28" ht="38.25" x14ac:dyDescent="0.2">
      <c r="A48" s="6">
        <v>187</v>
      </c>
      <c r="B48" s="11"/>
      <c r="C48" s="11"/>
      <c r="D48" s="11" t="s">
        <v>260</v>
      </c>
      <c r="E48" s="11" t="s">
        <v>261</v>
      </c>
      <c r="F48" s="11" t="s">
        <v>8</v>
      </c>
      <c r="G48" s="11"/>
      <c r="H48" s="11"/>
      <c r="I48" s="11"/>
      <c r="J48" s="11">
        <v>75</v>
      </c>
      <c r="K48" s="13">
        <v>1250000</v>
      </c>
      <c r="L48" s="13">
        <v>937500</v>
      </c>
      <c r="M48" s="13">
        <v>312500</v>
      </c>
      <c r="N48" s="13">
        <v>0</v>
      </c>
      <c r="O48" s="13">
        <v>1250000</v>
      </c>
      <c r="P48" s="13">
        <v>0</v>
      </c>
      <c r="Q48" s="13">
        <v>0</v>
      </c>
      <c r="R48" s="13">
        <v>0</v>
      </c>
      <c r="S48" s="13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</row>
    <row r="49" spans="1:28" ht="38.25" x14ac:dyDescent="0.2">
      <c r="A49" s="6">
        <v>188</v>
      </c>
      <c r="B49" s="9">
        <v>61</v>
      </c>
      <c r="C49" s="9">
        <v>49</v>
      </c>
      <c r="D49" s="9" t="s">
        <v>263</v>
      </c>
      <c r="E49" s="9" t="s">
        <v>261</v>
      </c>
      <c r="F49" s="9" t="s">
        <v>11</v>
      </c>
      <c r="G49" s="9" t="s">
        <v>264</v>
      </c>
      <c r="H49" s="9" t="s">
        <v>185</v>
      </c>
      <c r="I49" s="9" t="s">
        <v>18</v>
      </c>
      <c r="J49" s="9">
        <v>75</v>
      </c>
      <c r="K49" s="10">
        <v>1250000</v>
      </c>
      <c r="L49" s="10">
        <v>937500</v>
      </c>
      <c r="M49" s="10">
        <v>312500</v>
      </c>
      <c r="N49" s="10"/>
      <c r="O49" s="10">
        <v>1250000</v>
      </c>
      <c r="P49" s="10"/>
      <c r="Q49" s="10"/>
      <c r="R49" s="10"/>
      <c r="S49" s="10"/>
      <c r="T49" s="3"/>
      <c r="U49" s="3"/>
      <c r="V49" s="3"/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</row>
    <row r="50" spans="1:28" ht="102" x14ac:dyDescent="0.2">
      <c r="A50" s="6">
        <v>189</v>
      </c>
      <c r="B50" s="11"/>
      <c r="C50" s="11">
        <v>49</v>
      </c>
      <c r="D50" s="11" t="s">
        <v>265</v>
      </c>
      <c r="E50" s="11" t="s">
        <v>262</v>
      </c>
      <c r="F50" s="11" t="s">
        <v>15</v>
      </c>
      <c r="G50" s="11"/>
      <c r="H50" s="11"/>
      <c r="I50" s="11"/>
      <c r="J50" s="11">
        <v>75</v>
      </c>
      <c r="K50" s="13">
        <v>1250000</v>
      </c>
      <c r="L50" s="13">
        <v>937500</v>
      </c>
      <c r="M50" s="13">
        <v>312500</v>
      </c>
      <c r="N50" s="13"/>
      <c r="O50" s="13">
        <v>1250000</v>
      </c>
      <c r="P50" s="13"/>
      <c r="Q50" s="13"/>
      <c r="R50" s="13"/>
      <c r="S50" s="13"/>
      <c r="T50" s="1"/>
      <c r="U50" s="1"/>
      <c r="V50" s="1"/>
      <c r="W50" s="1">
        <v>1219174.97</v>
      </c>
      <c r="X50" s="1">
        <v>914381.22</v>
      </c>
      <c r="Y50" s="1">
        <v>97.53</v>
      </c>
      <c r="Z50" s="1">
        <v>914381.22</v>
      </c>
      <c r="AA50" s="1">
        <v>304793.75</v>
      </c>
      <c r="AB50" s="2">
        <v>0</v>
      </c>
    </row>
    <row r="51" spans="1:28" ht="38.25" x14ac:dyDescent="0.2">
      <c r="A51" s="6">
        <v>190</v>
      </c>
      <c r="B51" s="8"/>
      <c r="C51" s="8"/>
      <c r="D51" s="8" t="s">
        <v>266</v>
      </c>
      <c r="E51" s="8" t="s">
        <v>267</v>
      </c>
      <c r="F51" s="8" t="s">
        <v>8</v>
      </c>
      <c r="G51" s="8"/>
      <c r="H51" s="8"/>
      <c r="I51" s="8"/>
      <c r="J51" s="8">
        <v>75</v>
      </c>
      <c r="K51" s="12">
        <v>50000</v>
      </c>
      <c r="L51" s="12">
        <v>37500</v>
      </c>
      <c r="M51" s="12">
        <v>12500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50000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4">
        <v>0</v>
      </c>
    </row>
    <row r="52" spans="1:28" ht="38.25" x14ac:dyDescent="0.2">
      <c r="A52" s="6">
        <v>191</v>
      </c>
      <c r="B52" s="9">
        <v>62</v>
      </c>
      <c r="C52" s="9">
        <v>50</v>
      </c>
      <c r="D52" s="9" t="s">
        <v>268</v>
      </c>
      <c r="E52" s="9" t="s">
        <v>269</v>
      </c>
      <c r="F52" s="9" t="s">
        <v>11</v>
      </c>
      <c r="G52" s="9" t="s">
        <v>264</v>
      </c>
      <c r="H52" s="9" t="s">
        <v>185</v>
      </c>
      <c r="I52" s="9" t="s">
        <v>18</v>
      </c>
      <c r="J52" s="9">
        <v>75</v>
      </c>
      <c r="K52" s="10">
        <v>50000</v>
      </c>
      <c r="L52" s="10">
        <v>37500</v>
      </c>
      <c r="M52" s="10">
        <v>12500</v>
      </c>
      <c r="N52" s="10"/>
      <c r="O52" s="10">
        <v>50000</v>
      </c>
      <c r="P52" s="10"/>
      <c r="Q52" s="10"/>
      <c r="R52" s="10"/>
      <c r="S52" s="10"/>
      <c r="T52" s="1"/>
      <c r="U52" s="1"/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</row>
    <row r="53" spans="1:28" ht="25.5" x14ac:dyDescent="0.2">
      <c r="A53" s="6">
        <v>192</v>
      </c>
      <c r="B53" s="8"/>
      <c r="C53" s="8">
        <v>50</v>
      </c>
      <c r="D53" s="8" t="s">
        <v>270</v>
      </c>
      <c r="E53" s="8" t="s">
        <v>269</v>
      </c>
      <c r="F53" s="8" t="s">
        <v>15</v>
      </c>
      <c r="G53" s="8"/>
      <c r="H53" s="8"/>
      <c r="I53" s="8"/>
      <c r="J53" s="8">
        <v>75</v>
      </c>
      <c r="K53" s="12">
        <v>50000</v>
      </c>
      <c r="L53" s="12">
        <v>37500</v>
      </c>
      <c r="M53" s="12">
        <v>12500</v>
      </c>
      <c r="N53" s="12"/>
      <c r="O53" s="12">
        <v>50000</v>
      </c>
      <c r="P53" s="12"/>
      <c r="Q53" s="12"/>
      <c r="R53" s="12"/>
      <c r="S53" s="12"/>
      <c r="T53" s="3"/>
      <c r="U53" s="3"/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4">
        <v>0</v>
      </c>
    </row>
    <row r="54" spans="1:28" ht="38.25" x14ac:dyDescent="0.2">
      <c r="A54" s="6">
        <v>193</v>
      </c>
      <c r="B54" s="11"/>
      <c r="C54" s="11"/>
      <c r="D54" s="11" t="s">
        <v>271</v>
      </c>
      <c r="E54" s="11" t="s">
        <v>272</v>
      </c>
      <c r="F54" s="11" t="s">
        <v>8</v>
      </c>
      <c r="G54" s="11"/>
      <c r="H54" s="11"/>
      <c r="I54" s="11"/>
      <c r="J54" s="11"/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/>
      <c r="Z54" s="1">
        <v>0</v>
      </c>
      <c r="AA54" s="1">
        <v>0</v>
      </c>
      <c r="AB54" s="2">
        <v>0</v>
      </c>
    </row>
    <row r="55" spans="1:28" ht="51" x14ac:dyDescent="0.2">
      <c r="A55" s="6">
        <v>194</v>
      </c>
      <c r="B55" s="8"/>
      <c r="C55" s="8"/>
      <c r="D55" s="8" t="s">
        <v>273</v>
      </c>
      <c r="E55" s="8" t="s">
        <v>274</v>
      </c>
      <c r="F55" s="8" t="s">
        <v>8</v>
      </c>
      <c r="G55" s="8"/>
      <c r="H55" s="8"/>
      <c r="I55" s="8"/>
      <c r="J55" s="8">
        <v>75</v>
      </c>
      <c r="K55" s="12">
        <v>75000</v>
      </c>
      <c r="L55" s="12">
        <v>56250</v>
      </c>
      <c r="M55" s="12">
        <v>18750</v>
      </c>
      <c r="N55" s="12">
        <v>0</v>
      </c>
      <c r="O55" s="12">
        <v>15000</v>
      </c>
      <c r="P55" s="12">
        <v>15000</v>
      </c>
      <c r="Q55" s="12">
        <v>15000</v>
      </c>
      <c r="R55" s="12">
        <v>15000</v>
      </c>
      <c r="S55" s="12">
        <v>15000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4">
        <v>0</v>
      </c>
    </row>
    <row r="56" spans="1:28" ht="38.25" x14ac:dyDescent="0.2">
      <c r="A56" s="6">
        <v>195</v>
      </c>
      <c r="B56" s="11">
        <v>63</v>
      </c>
      <c r="C56" s="11">
        <v>51</v>
      </c>
      <c r="D56" s="11" t="s">
        <v>275</v>
      </c>
      <c r="E56" s="11" t="s">
        <v>276</v>
      </c>
      <c r="F56" s="11" t="s">
        <v>11</v>
      </c>
      <c r="G56" s="11" t="s">
        <v>264</v>
      </c>
      <c r="H56" s="11" t="s">
        <v>185</v>
      </c>
      <c r="I56" s="11" t="s">
        <v>18</v>
      </c>
      <c r="J56" s="11">
        <v>75</v>
      </c>
      <c r="K56" s="13">
        <v>75000</v>
      </c>
      <c r="L56" s="13">
        <v>56250</v>
      </c>
      <c r="M56" s="13">
        <v>18750</v>
      </c>
      <c r="N56" s="13"/>
      <c r="O56" s="13">
        <v>15000</v>
      </c>
      <c r="P56" s="13">
        <v>15000</v>
      </c>
      <c r="Q56" s="13">
        <v>15000</v>
      </c>
      <c r="R56" s="13">
        <v>15000</v>
      </c>
      <c r="S56" s="13">
        <v>15000</v>
      </c>
      <c r="T56" s="1"/>
      <c r="U56" s="1"/>
      <c r="V56" s="1"/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2">
        <v>0</v>
      </c>
    </row>
    <row r="57" spans="1:28" ht="38.25" x14ac:dyDescent="0.2">
      <c r="A57" s="6">
        <v>196</v>
      </c>
      <c r="B57" s="8"/>
      <c r="C57" s="8">
        <v>51</v>
      </c>
      <c r="D57" s="8" t="s">
        <v>277</v>
      </c>
      <c r="E57" s="8" t="s">
        <v>276</v>
      </c>
      <c r="F57" s="8" t="s">
        <v>15</v>
      </c>
      <c r="G57" s="8"/>
      <c r="H57" s="8"/>
      <c r="I57" s="8"/>
      <c r="J57" s="8">
        <v>75</v>
      </c>
      <c r="K57" s="12">
        <v>45000</v>
      </c>
      <c r="L57" s="12">
        <v>33750</v>
      </c>
      <c r="M57" s="12">
        <v>11250</v>
      </c>
      <c r="N57" s="12"/>
      <c r="O57" s="12">
        <v>15000</v>
      </c>
      <c r="P57" s="12">
        <v>15000</v>
      </c>
      <c r="Q57" s="12">
        <v>15000</v>
      </c>
      <c r="R57" s="12"/>
      <c r="S57" s="12"/>
      <c r="T57" s="3"/>
      <c r="U57" s="3"/>
      <c r="V57" s="3"/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4">
        <v>0</v>
      </c>
    </row>
    <row r="58" spans="1:28" x14ac:dyDescent="0.2">
      <c r="A58" s="6">
        <v>197</v>
      </c>
      <c r="B58" s="11"/>
      <c r="C58" s="11"/>
      <c r="D58" s="11" t="s">
        <v>278</v>
      </c>
      <c r="E58" s="11" t="s">
        <v>279</v>
      </c>
      <c r="F58" s="11" t="s">
        <v>5</v>
      </c>
      <c r="G58" s="11"/>
      <c r="H58" s="11"/>
      <c r="I58" s="11"/>
      <c r="J58" s="11">
        <v>75</v>
      </c>
      <c r="K58" s="13">
        <v>2669816</v>
      </c>
      <c r="L58" s="13">
        <v>2002362</v>
      </c>
      <c r="M58" s="13">
        <v>667454</v>
      </c>
      <c r="N58" s="13">
        <v>0</v>
      </c>
      <c r="O58" s="13">
        <v>699750</v>
      </c>
      <c r="P58" s="13">
        <v>300000</v>
      </c>
      <c r="Q58" s="13">
        <v>0</v>
      </c>
      <c r="R58" s="13">
        <v>0</v>
      </c>
      <c r="S58" s="13">
        <v>300000</v>
      </c>
      <c r="T58" s="1">
        <v>300000</v>
      </c>
      <c r="U58" s="1">
        <v>1070066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2">
        <v>0</v>
      </c>
    </row>
    <row r="59" spans="1:28" ht="51" x14ac:dyDescent="0.2">
      <c r="A59" s="6">
        <v>198</v>
      </c>
      <c r="B59" s="8"/>
      <c r="C59" s="8"/>
      <c r="D59" s="8" t="s">
        <v>280</v>
      </c>
      <c r="E59" s="8" t="s">
        <v>281</v>
      </c>
      <c r="F59" s="8" t="s">
        <v>8</v>
      </c>
      <c r="G59" s="8"/>
      <c r="H59" s="8"/>
      <c r="I59" s="8"/>
      <c r="J59" s="8">
        <v>75</v>
      </c>
      <c r="K59" s="12">
        <v>1599750</v>
      </c>
      <c r="L59" s="12">
        <v>1199812.5</v>
      </c>
      <c r="M59" s="12">
        <v>399937.5</v>
      </c>
      <c r="N59" s="12">
        <v>0</v>
      </c>
      <c r="O59" s="12">
        <v>699750</v>
      </c>
      <c r="P59" s="12">
        <v>300000</v>
      </c>
      <c r="Q59" s="12">
        <v>0</v>
      </c>
      <c r="R59" s="12">
        <v>0</v>
      </c>
      <c r="S59" s="12">
        <v>300000</v>
      </c>
      <c r="T59" s="3">
        <v>300000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4">
        <v>0</v>
      </c>
    </row>
    <row r="60" spans="1:28" ht="51" x14ac:dyDescent="0.2">
      <c r="A60" s="6">
        <v>199</v>
      </c>
      <c r="B60" s="11">
        <v>64</v>
      </c>
      <c r="C60" s="11">
        <v>52</v>
      </c>
      <c r="D60" s="11" t="s">
        <v>282</v>
      </c>
      <c r="E60" s="11" t="s">
        <v>283</v>
      </c>
      <c r="F60" s="11" t="s">
        <v>11</v>
      </c>
      <c r="G60" s="11" t="s">
        <v>264</v>
      </c>
      <c r="H60" s="11" t="s">
        <v>284</v>
      </c>
      <c r="I60" s="11" t="s">
        <v>18</v>
      </c>
      <c r="J60" s="11">
        <v>75</v>
      </c>
      <c r="K60" s="13">
        <v>1200000</v>
      </c>
      <c r="L60" s="13">
        <v>900000</v>
      </c>
      <c r="M60" s="13">
        <v>300000</v>
      </c>
      <c r="N60" s="13"/>
      <c r="O60" s="13">
        <v>300000</v>
      </c>
      <c r="P60" s="13">
        <v>300000</v>
      </c>
      <c r="Q60" s="13"/>
      <c r="R60" s="13"/>
      <c r="S60" s="13">
        <v>300000</v>
      </c>
      <c r="T60" s="1">
        <v>300000</v>
      </c>
      <c r="U60" s="1"/>
      <c r="V60" s="1"/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2">
        <v>0</v>
      </c>
    </row>
    <row r="61" spans="1:28" ht="51" x14ac:dyDescent="0.2">
      <c r="A61" s="6">
        <v>200</v>
      </c>
      <c r="B61" s="8"/>
      <c r="C61" s="8">
        <v>52</v>
      </c>
      <c r="D61" s="8" t="s">
        <v>285</v>
      </c>
      <c r="E61" s="8" t="s">
        <v>286</v>
      </c>
      <c r="F61" s="8" t="s">
        <v>15</v>
      </c>
      <c r="G61" s="8"/>
      <c r="H61" s="8"/>
      <c r="I61" s="8"/>
      <c r="J61" s="8">
        <v>75</v>
      </c>
      <c r="K61" s="12">
        <v>720000</v>
      </c>
      <c r="L61" s="12">
        <v>540000</v>
      </c>
      <c r="M61" s="12">
        <v>180000</v>
      </c>
      <c r="N61" s="12"/>
      <c r="O61" s="12">
        <v>300000</v>
      </c>
      <c r="P61" s="12">
        <v>120000</v>
      </c>
      <c r="Q61" s="12">
        <v>300000</v>
      </c>
      <c r="R61" s="12"/>
      <c r="S61" s="12"/>
      <c r="T61" s="3"/>
      <c r="U61" s="3"/>
      <c r="V61" s="3"/>
      <c r="W61" s="3">
        <v>31629.14</v>
      </c>
      <c r="X61" s="3">
        <v>23721.85</v>
      </c>
      <c r="Y61" s="3">
        <v>4.3899999999999997</v>
      </c>
      <c r="Z61" s="3">
        <v>23721.85</v>
      </c>
      <c r="AA61" s="3">
        <v>7907.29</v>
      </c>
      <c r="AB61" s="4">
        <v>0</v>
      </c>
    </row>
    <row r="62" spans="1:28" ht="38.25" x14ac:dyDescent="0.2">
      <c r="A62" s="6">
        <v>201</v>
      </c>
      <c r="B62" s="11">
        <v>65</v>
      </c>
      <c r="C62" s="11">
        <v>53</v>
      </c>
      <c r="D62" s="11" t="s">
        <v>287</v>
      </c>
      <c r="E62" s="11" t="s">
        <v>288</v>
      </c>
      <c r="F62" s="11" t="s">
        <v>11</v>
      </c>
      <c r="G62" s="11" t="s">
        <v>264</v>
      </c>
      <c r="H62" s="11" t="s">
        <v>284</v>
      </c>
      <c r="I62" s="11" t="s">
        <v>18</v>
      </c>
      <c r="J62" s="11">
        <v>75</v>
      </c>
      <c r="K62" s="13">
        <v>399750</v>
      </c>
      <c r="L62" s="13">
        <v>299812.5</v>
      </c>
      <c r="M62" s="13">
        <v>99937.5</v>
      </c>
      <c r="N62" s="13"/>
      <c r="O62" s="13">
        <v>399750</v>
      </c>
      <c r="P62" s="13"/>
      <c r="Q62" s="13"/>
      <c r="R62" s="13"/>
      <c r="S62" s="13"/>
      <c r="T62" s="1"/>
      <c r="U62" s="1"/>
      <c r="V62" s="1"/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2">
        <v>0</v>
      </c>
    </row>
    <row r="63" spans="1:28" ht="25.5" x14ac:dyDescent="0.2">
      <c r="A63" s="6">
        <v>202</v>
      </c>
      <c r="B63" s="8"/>
      <c r="C63" s="8">
        <v>53</v>
      </c>
      <c r="D63" s="8" t="s">
        <v>289</v>
      </c>
      <c r="E63" s="8" t="s">
        <v>288</v>
      </c>
      <c r="F63" s="8" t="s">
        <v>15</v>
      </c>
      <c r="G63" s="8"/>
      <c r="H63" s="8"/>
      <c r="I63" s="8"/>
      <c r="J63" s="8">
        <v>75</v>
      </c>
      <c r="K63" s="12">
        <v>399750</v>
      </c>
      <c r="L63" s="12">
        <v>299812.5</v>
      </c>
      <c r="M63" s="12">
        <v>99937.5</v>
      </c>
      <c r="N63" s="12"/>
      <c r="O63" s="12">
        <v>399750</v>
      </c>
      <c r="P63" s="12"/>
      <c r="Q63" s="12"/>
      <c r="R63" s="12"/>
      <c r="S63" s="12"/>
      <c r="T63" s="3"/>
      <c r="U63" s="3"/>
      <c r="V63" s="3"/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4">
        <v>0</v>
      </c>
    </row>
    <row r="64" spans="1:28" ht="25.5" x14ac:dyDescent="0.2">
      <c r="A64" s="6">
        <v>203</v>
      </c>
      <c r="B64" s="11"/>
      <c r="C64" s="11"/>
      <c r="D64" s="11" t="s">
        <v>290</v>
      </c>
      <c r="E64" s="11" t="s">
        <v>291</v>
      </c>
      <c r="F64" s="11" t="s">
        <v>8</v>
      </c>
      <c r="G64" s="11"/>
      <c r="H64" s="11"/>
      <c r="I64" s="11"/>
      <c r="J64" s="11">
        <v>75</v>
      </c>
      <c r="K64" s="13">
        <v>1070066</v>
      </c>
      <c r="L64" s="13">
        <v>802549.5</v>
      </c>
      <c r="M64" s="13">
        <v>267516.5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">
        <v>0</v>
      </c>
      <c r="U64" s="1">
        <v>1070066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2">
        <v>0</v>
      </c>
    </row>
    <row r="65" spans="1:28" ht="25.5" x14ac:dyDescent="0.2">
      <c r="A65" s="6">
        <v>204</v>
      </c>
      <c r="B65" s="8"/>
      <c r="C65" s="8"/>
      <c r="D65" s="8" t="s">
        <v>292</v>
      </c>
      <c r="E65" s="8" t="s">
        <v>293</v>
      </c>
      <c r="F65" s="8" t="s">
        <v>11</v>
      </c>
      <c r="G65" s="8"/>
      <c r="H65" s="8" t="s">
        <v>65</v>
      </c>
      <c r="I65" s="8" t="s">
        <v>18</v>
      </c>
      <c r="J65" s="8">
        <v>75</v>
      </c>
      <c r="K65" s="12">
        <v>1070066</v>
      </c>
      <c r="L65" s="12">
        <v>802549.5</v>
      </c>
      <c r="M65" s="12">
        <v>267516.5</v>
      </c>
      <c r="N65" s="12"/>
      <c r="O65" s="12"/>
      <c r="P65" s="12"/>
      <c r="Q65" s="12"/>
      <c r="R65" s="12"/>
      <c r="S65" s="12"/>
      <c r="T65" s="3"/>
      <c r="U65" s="3">
        <v>1070066</v>
      </c>
      <c r="V65" s="3"/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4">
        <v>0</v>
      </c>
    </row>
    <row r="66" spans="1:28" x14ac:dyDescent="0.2">
      <c r="A66" s="6">
        <v>205</v>
      </c>
      <c r="B66" s="11"/>
      <c r="C66" s="11"/>
      <c r="D66" s="11" t="s">
        <v>294</v>
      </c>
      <c r="E66" s="11" t="s">
        <v>295</v>
      </c>
      <c r="F66" s="11" t="s">
        <v>5</v>
      </c>
      <c r="G66" s="11"/>
      <c r="H66" s="11"/>
      <c r="I66" s="11"/>
      <c r="J66" s="11">
        <v>75</v>
      </c>
      <c r="K66" s="13">
        <v>955682.67</v>
      </c>
      <c r="L66" s="13">
        <v>716762</v>
      </c>
      <c r="M66" s="13">
        <v>238920.67</v>
      </c>
      <c r="N66" s="13">
        <v>0</v>
      </c>
      <c r="O66" s="13">
        <v>5000</v>
      </c>
      <c r="P66" s="13">
        <v>5000</v>
      </c>
      <c r="Q66" s="13">
        <v>5000</v>
      </c>
      <c r="R66" s="13">
        <v>5000</v>
      </c>
      <c r="S66" s="13">
        <v>705000</v>
      </c>
      <c r="T66" s="1">
        <v>0</v>
      </c>
      <c r="U66" s="1">
        <v>230682.67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2">
        <v>0</v>
      </c>
    </row>
    <row r="67" spans="1:28" ht="51" x14ac:dyDescent="0.2">
      <c r="A67" s="6">
        <v>206</v>
      </c>
      <c r="B67" s="8"/>
      <c r="C67" s="8"/>
      <c r="D67" s="8" t="s">
        <v>296</v>
      </c>
      <c r="E67" s="8" t="s">
        <v>297</v>
      </c>
      <c r="F67" s="8" t="s">
        <v>8</v>
      </c>
      <c r="G67" s="8"/>
      <c r="H67" s="8"/>
      <c r="I67" s="8"/>
      <c r="J67" s="8">
        <v>75</v>
      </c>
      <c r="K67" s="12">
        <v>25000</v>
      </c>
      <c r="L67" s="12">
        <v>18750</v>
      </c>
      <c r="M67" s="12">
        <v>6250</v>
      </c>
      <c r="N67" s="12">
        <v>0</v>
      </c>
      <c r="O67" s="12">
        <v>5000</v>
      </c>
      <c r="P67" s="12">
        <v>5000</v>
      </c>
      <c r="Q67" s="12">
        <v>5000</v>
      </c>
      <c r="R67" s="12">
        <v>5000</v>
      </c>
      <c r="S67" s="12">
        <v>5000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4">
        <v>0</v>
      </c>
    </row>
    <row r="68" spans="1:28" ht="38.25" x14ac:dyDescent="0.2">
      <c r="A68" s="6">
        <v>207</v>
      </c>
      <c r="B68" s="11">
        <v>66</v>
      </c>
      <c r="C68" s="11">
        <v>54</v>
      </c>
      <c r="D68" s="11" t="s">
        <v>298</v>
      </c>
      <c r="E68" s="11" t="s">
        <v>299</v>
      </c>
      <c r="F68" s="11" t="s">
        <v>11</v>
      </c>
      <c r="G68" s="11" t="s">
        <v>264</v>
      </c>
      <c r="H68" s="11" t="s">
        <v>185</v>
      </c>
      <c r="I68" s="11" t="s">
        <v>18</v>
      </c>
      <c r="J68" s="11">
        <v>75</v>
      </c>
      <c r="K68" s="13">
        <v>25000</v>
      </c>
      <c r="L68" s="13">
        <v>18750</v>
      </c>
      <c r="M68" s="13">
        <v>6250</v>
      </c>
      <c r="N68" s="13"/>
      <c r="O68" s="13">
        <v>5000</v>
      </c>
      <c r="P68" s="13">
        <v>5000</v>
      </c>
      <c r="Q68" s="13">
        <v>5000</v>
      </c>
      <c r="R68" s="13">
        <v>5000</v>
      </c>
      <c r="S68" s="13">
        <v>5000</v>
      </c>
      <c r="T68" s="1"/>
      <c r="U68" s="1"/>
      <c r="V68" s="1"/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2">
        <v>0</v>
      </c>
    </row>
    <row r="69" spans="1:28" ht="102" x14ac:dyDescent="0.2">
      <c r="A69" s="6">
        <v>208</v>
      </c>
      <c r="B69" s="8"/>
      <c r="C69" s="8">
        <v>54</v>
      </c>
      <c r="D69" s="8" t="s">
        <v>300</v>
      </c>
      <c r="E69" s="8" t="s">
        <v>301</v>
      </c>
      <c r="F69" s="8" t="s">
        <v>15</v>
      </c>
      <c r="G69" s="8"/>
      <c r="H69" s="8"/>
      <c r="I69" s="8"/>
      <c r="J69" s="8">
        <v>75</v>
      </c>
      <c r="K69" s="12">
        <v>15000</v>
      </c>
      <c r="L69" s="12">
        <v>11250</v>
      </c>
      <c r="M69" s="12">
        <v>3750</v>
      </c>
      <c r="N69" s="12"/>
      <c r="O69" s="12">
        <v>5000</v>
      </c>
      <c r="P69" s="12">
        <v>5000</v>
      </c>
      <c r="Q69" s="12">
        <v>5000</v>
      </c>
      <c r="R69" s="12"/>
      <c r="S69" s="12"/>
      <c r="T69" s="3"/>
      <c r="U69" s="3"/>
      <c r="V69" s="3"/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4">
        <v>0</v>
      </c>
    </row>
    <row r="70" spans="1:28" ht="51" x14ac:dyDescent="0.2">
      <c r="A70" s="6">
        <v>209</v>
      </c>
      <c r="B70" s="11"/>
      <c r="C70" s="11"/>
      <c r="D70" s="11" t="s">
        <v>302</v>
      </c>
      <c r="E70" s="11" t="s">
        <v>303</v>
      </c>
      <c r="F70" s="11" t="s">
        <v>8</v>
      </c>
      <c r="G70" s="11"/>
      <c r="H70" s="11"/>
      <c r="I70" s="11"/>
      <c r="J70" s="11">
        <v>75</v>
      </c>
      <c r="K70" s="13">
        <v>700000</v>
      </c>
      <c r="L70" s="13">
        <v>525000</v>
      </c>
      <c r="M70" s="13">
        <v>175000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700000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2">
        <v>0</v>
      </c>
    </row>
    <row r="71" spans="1:28" ht="38.25" x14ac:dyDescent="0.2">
      <c r="A71" s="6">
        <v>210</v>
      </c>
      <c r="B71" s="8">
        <v>67</v>
      </c>
      <c r="C71" s="8">
        <v>55</v>
      </c>
      <c r="D71" s="8" t="s">
        <v>304</v>
      </c>
      <c r="E71" s="8" t="s">
        <v>305</v>
      </c>
      <c r="F71" s="8" t="s">
        <v>11</v>
      </c>
      <c r="G71" s="8" t="s">
        <v>264</v>
      </c>
      <c r="H71" s="8" t="s">
        <v>185</v>
      </c>
      <c r="I71" s="8" t="s">
        <v>18</v>
      </c>
      <c r="J71" s="8">
        <v>75</v>
      </c>
      <c r="K71" s="12">
        <v>700000</v>
      </c>
      <c r="L71" s="12">
        <v>525000</v>
      </c>
      <c r="M71" s="12">
        <v>175000</v>
      </c>
      <c r="N71" s="12"/>
      <c r="O71" s="12"/>
      <c r="P71" s="12"/>
      <c r="Q71" s="12"/>
      <c r="R71" s="12"/>
      <c r="S71" s="12">
        <v>700000</v>
      </c>
      <c r="T71" s="3"/>
      <c r="U71" s="3"/>
      <c r="V71" s="3"/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4">
        <v>0</v>
      </c>
    </row>
    <row r="72" spans="1:28" ht="38.25" x14ac:dyDescent="0.2">
      <c r="A72" s="6">
        <v>211</v>
      </c>
      <c r="B72" s="11"/>
      <c r="C72" s="11">
        <v>55</v>
      </c>
      <c r="D72" s="11" t="s">
        <v>306</v>
      </c>
      <c r="E72" s="11" t="s">
        <v>305</v>
      </c>
      <c r="F72" s="11" t="s">
        <v>15</v>
      </c>
      <c r="G72" s="11"/>
      <c r="H72" s="11"/>
      <c r="I72" s="11"/>
      <c r="J72" s="11">
        <v>75</v>
      </c>
      <c r="K72" s="13">
        <v>700000</v>
      </c>
      <c r="L72" s="13">
        <v>525000</v>
      </c>
      <c r="M72" s="13">
        <v>175000</v>
      </c>
      <c r="N72" s="13"/>
      <c r="O72" s="13"/>
      <c r="P72" s="13"/>
      <c r="Q72" s="13"/>
      <c r="R72" s="13"/>
      <c r="S72" s="13">
        <v>700000</v>
      </c>
      <c r="T72" s="1"/>
      <c r="U72" s="1"/>
      <c r="V72" s="1"/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2">
        <v>0</v>
      </c>
    </row>
    <row r="73" spans="1:28" ht="25.5" x14ac:dyDescent="0.2">
      <c r="A73" s="6">
        <v>212</v>
      </c>
      <c r="B73" s="8"/>
      <c r="C73" s="8"/>
      <c r="D73" s="8" t="s">
        <v>307</v>
      </c>
      <c r="E73" s="8" t="s">
        <v>308</v>
      </c>
      <c r="F73" s="8" t="s">
        <v>8</v>
      </c>
      <c r="G73" s="8"/>
      <c r="H73" s="8"/>
      <c r="I73" s="8"/>
      <c r="J73" s="8">
        <v>75</v>
      </c>
      <c r="K73" s="12">
        <v>230682.67</v>
      </c>
      <c r="L73" s="12">
        <v>173012</v>
      </c>
      <c r="M73" s="12">
        <v>57670.67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3">
        <v>0</v>
      </c>
      <c r="U73" s="3">
        <v>230682.67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4">
        <v>0</v>
      </c>
    </row>
    <row r="74" spans="1:28" ht="25.5" x14ac:dyDescent="0.2">
      <c r="A74" s="6">
        <v>213</v>
      </c>
      <c r="B74" s="11"/>
      <c r="C74" s="11"/>
      <c r="D74" s="11" t="s">
        <v>309</v>
      </c>
      <c r="E74" s="11" t="s">
        <v>183</v>
      </c>
      <c r="F74" s="11" t="s">
        <v>11</v>
      </c>
      <c r="G74" s="11"/>
      <c r="H74" s="11" t="s">
        <v>65</v>
      </c>
      <c r="I74" s="11" t="s">
        <v>18</v>
      </c>
      <c r="J74" s="11">
        <v>75</v>
      </c>
      <c r="K74" s="13">
        <v>230682.67</v>
      </c>
      <c r="L74" s="13">
        <v>173012</v>
      </c>
      <c r="M74" s="13">
        <v>57670.67</v>
      </c>
      <c r="N74" s="13"/>
      <c r="O74" s="13"/>
      <c r="P74" s="13"/>
      <c r="Q74" s="13"/>
      <c r="R74" s="13"/>
      <c r="S74" s="13"/>
      <c r="T74" s="1"/>
      <c r="U74" s="1">
        <v>230682.67</v>
      </c>
      <c r="V74" s="1"/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2">
        <v>0</v>
      </c>
    </row>
    <row r="75" spans="1:28" x14ac:dyDescent="0.2">
      <c r="A75" s="6">
        <v>214</v>
      </c>
      <c r="B75" s="8"/>
      <c r="C75" s="8"/>
      <c r="D75" s="8" t="s">
        <v>310</v>
      </c>
      <c r="E75" s="8" t="s">
        <v>228</v>
      </c>
      <c r="F75" s="8" t="s">
        <v>5</v>
      </c>
      <c r="G75" s="8"/>
      <c r="H75" s="8"/>
      <c r="I75" s="8"/>
      <c r="J75" s="8">
        <v>75</v>
      </c>
      <c r="K75" s="12">
        <v>2692945.33</v>
      </c>
      <c r="L75" s="12">
        <v>2019709</v>
      </c>
      <c r="M75" s="12">
        <v>673236.33</v>
      </c>
      <c r="N75" s="12">
        <v>140700</v>
      </c>
      <c r="O75" s="12">
        <v>355200</v>
      </c>
      <c r="P75" s="12">
        <v>529700</v>
      </c>
      <c r="Q75" s="12">
        <v>495700</v>
      </c>
      <c r="R75" s="12">
        <v>425700</v>
      </c>
      <c r="S75" s="12">
        <v>85700</v>
      </c>
      <c r="T75" s="3">
        <v>1000</v>
      </c>
      <c r="U75" s="3">
        <v>659245.32999999996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4">
        <v>0</v>
      </c>
    </row>
    <row r="76" spans="1:28" ht="38.25" x14ac:dyDescent="0.2">
      <c r="A76" s="6">
        <v>215</v>
      </c>
      <c r="B76" s="11"/>
      <c r="C76" s="11"/>
      <c r="D76" s="11" t="s">
        <v>311</v>
      </c>
      <c r="E76" s="11" t="s">
        <v>312</v>
      </c>
      <c r="F76" s="11" t="s">
        <v>8</v>
      </c>
      <c r="G76" s="11"/>
      <c r="H76" s="11"/>
      <c r="I76" s="11"/>
      <c r="J76" s="11">
        <v>75</v>
      </c>
      <c r="K76" s="13">
        <v>182200</v>
      </c>
      <c r="L76" s="13">
        <v>136650</v>
      </c>
      <c r="M76" s="13">
        <v>45550</v>
      </c>
      <c r="N76" s="13">
        <v>63700</v>
      </c>
      <c r="O76" s="13">
        <v>63700</v>
      </c>
      <c r="P76" s="13">
        <v>13700</v>
      </c>
      <c r="Q76" s="13">
        <v>13700</v>
      </c>
      <c r="R76" s="13">
        <v>13700</v>
      </c>
      <c r="S76" s="13">
        <v>13700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</row>
    <row r="77" spans="1:28" ht="38.25" x14ac:dyDescent="0.2">
      <c r="A77" s="6">
        <v>216</v>
      </c>
      <c r="B77" s="8">
        <v>68</v>
      </c>
      <c r="C77" s="8">
        <v>56</v>
      </c>
      <c r="D77" s="8" t="s">
        <v>313</v>
      </c>
      <c r="E77" s="8" t="s">
        <v>314</v>
      </c>
      <c r="F77" s="8" t="s">
        <v>11</v>
      </c>
      <c r="G77" s="8" t="s">
        <v>264</v>
      </c>
      <c r="H77" s="8" t="s">
        <v>315</v>
      </c>
      <c r="I77" s="8" t="s">
        <v>18</v>
      </c>
      <c r="J77" s="8">
        <v>75</v>
      </c>
      <c r="K77" s="12">
        <v>182200</v>
      </c>
      <c r="L77" s="12">
        <v>136650</v>
      </c>
      <c r="M77" s="12">
        <v>45550</v>
      </c>
      <c r="N77" s="12">
        <v>63700</v>
      </c>
      <c r="O77" s="12">
        <v>63700</v>
      </c>
      <c r="P77" s="12">
        <v>13700</v>
      </c>
      <c r="Q77" s="12">
        <v>13700</v>
      </c>
      <c r="R77" s="12">
        <v>13700</v>
      </c>
      <c r="S77" s="12">
        <v>13700</v>
      </c>
      <c r="T77" s="3"/>
      <c r="U77" s="3"/>
      <c r="V77" s="3"/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</row>
    <row r="78" spans="1:28" ht="63.75" x14ac:dyDescent="0.2">
      <c r="A78" s="6">
        <v>217</v>
      </c>
      <c r="B78" s="11"/>
      <c r="C78" s="11">
        <v>56</v>
      </c>
      <c r="D78" s="11" t="s">
        <v>316</v>
      </c>
      <c r="E78" s="11" t="s">
        <v>317</v>
      </c>
      <c r="F78" s="11" t="s">
        <v>15</v>
      </c>
      <c r="G78" s="11"/>
      <c r="H78" s="11"/>
      <c r="I78" s="11"/>
      <c r="J78" s="11">
        <v>75</v>
      </c>
      <c r="K78" s="13">
        <v>141100</v>
      </c>
      <c r="L78" s="13">
        <v>105825</v>
      </c>
      <c r="M78" s="13">
        <v>35275</v>
      </c>
      <c r="N78" s="13">
        <v>1050</v>
      </c>
      <c r="O78" s="13">
        <v>63700</v>
      </c>
      <c r="P78" s="13">
        <v>76350</v>
      </c>
      <c r="Q78" s="13"/>
      <c r="R78" s="13"/>
      <c r="S78" s="13"/>
      <c r="T78" s="1"/>
      <c r="U78" s="1"/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</row>
    <row r="79" spans="1:28" ht="51" x14ac:dyDescent="0.2">
      <c r="A79" s="6">
        <v>218</v>
      </c>
      <c r="B79" s="8"/>
      <c r="C79" s="8"/>
      <c r="D79" s="8" t="s">
        <v>318</v>
      </c>
      <c r="E79" s="8" t="s">
        <v>319</v>
      </c>
      <c r="F79" s="8" t="s">
        <v>8</v>
      </c>
      <c r="G79" s="8"/>
      <c r="H79" s="8"/>
      <c r="I79" s="8"/>
      <c r="J79" s="8">
        <v>75</v>
      </c>
      <c r="K79" s="12">
        <v>300000</v>
      </c>
      <c r="L79" s="12">
        <v>225000</v>
      </c>
      <c r="M79" s="12">
        <v>75000</v>
      </c>
      <c r="N79" s="12">
        <v>50000</v>
      </c>
      <c r="O79" s="12">
        <v>50000</v>
      </c>
      <c r="P79" s="12">
        <v>50000</v>
      </c>
      <c r="Q79" s="12">
        <v>50000</v>
      </c>
      <c r="R79" s="12">
        <v>50000</v>
      </c>
      <c r="S79" s="12">
        <v>50000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4">
        <v>0</v>
      </c>
    </row>
    <row r="80" spans="1:28" ht="25.5" x14ac:dyDescent="0.2">
      <c r="A80" s="6">
        <v>219</v>
      </c>
      <c r="B80" s="11">
        <v>69</v>
      </c>
      <c r="C80" s="11">
        <v>57</v>
      </c>
      <c r="D80" s="11" t="s">
        <v>320</v>
      </c>
      <c r="E80" s="11" t="s">
        <v>321</v>
      </c>
      <c r="F80" s="11" t="s">
        <v>11</v>
      </c>
      <c r="G80" s="11" t="s">
        <v>264</v>
      </c>
      <c r="H80" s="11" t="s">
        <v>315</v>
      </c>
      <c r="I80" s="11" t="s">
        <v>18</v>
      </c>
      <c r="J80" s="11">
        <v>75</v>
      </c>
      <c r="K80" s="13">
        <v>300000</v>
      </c>
      <c r="L80" s="13">
        <v>225000</v>
      </c>
      <c r="M80" s="13">
        <v>75000</v>
      </c>
      <c r="N80" s="13">
        <v>50000</v>
      </c>
      <c r="O80" s="13">
        <v>50000</v>
      </c>
      <c r="P80" s="13">
        <v>50000</v>
      </c>
      <c r="Q80" s="13">
        <v>50000</v>
      </c>
      <c r="R80" s="13">
        <v>50000</v>
      </c>
      <c r="S80" s="13">
        <v>50000</v>
      </c>
      <c r="T80" s="1"/>
      <c r="U80" s="1"/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</row>
    <row r="81" spans="1:28" ht="25.5" x14ac:dyDescent="0.2">
      <c r="A81" s="6">
        <v>220</v>
      </c>
      <c r="B81" s="8"/>
      <c r="C81" s="8">
        <v>57</v>
      </c>
      <c r="D81" s="8" t="s">
        <v>322</v>
      </c>
      <c r="E81" s="8" t="s">
        <v>323</v>
      </c>
      <c r="F81" s="8" t="s">
        <v>15</v>
      </c>
      <c r="G81" s="8"/>
      <c r="H81" s="8"/>
      <c r="I81" s="8"/>
      <c r="J81" s="8">
        <v>75</v>
      </c>
      <c r="K81" s="12">
        <v>28500</v>
      </c>
      <c r="L81" s="12">
        <v>21375</v>
      </c>
      <c r="M81" s="12">
        <v>7125</v>
      </c>
      <c r="N81" s="12">
        <v>3500</v>
      </c>
      <c r="O81" s="12">
        <v>12500</v>
      </c>
      <c r="P81" s="12">
        <v>12500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</row>
    <row r="82" spans="1:28" ht="38.25" x14ac:dyDescent="0.2">
      <c r="A82" s="6">
        <v>221</v>
      </c>
      <c r="B82" s="11"/>
      <c r="C82" s="11"/>
      <c r="D82" s="11" t="s">
        <v>324</v>
      </c>
      <c r="E82" s="11" t="s">
        <v>325</v>
      </c>
      <c r="F82" s="11" t="s">
        <v>8</v>
      </c>
      <c r="G82" s="11"/>
      <c r="H82" s="11"/>
      <c r="I82" s="11"/>
      <c r="J82" s="11">
        <v>75</v>
      </c>
      <c r="K82" s="13">
        <v>658745.32999999996</v>
      </c>
      <c r="L82" s="13">
        <v>494059</v>
      </c>
      <c r="M82" s="13">
        <v>164686.32999999999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">
        <v>0</v>
      </c>
      <c r="U82" s="1">
        <v>658745.32999999996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</row>
    <row r="83" spans="1:28" ht="25.5" x14ac:dyDescent="0.2">
      <c r="A83" s="6">
        <v>222</v>
      </c>
      <c r="B83" s="8"/>
      <c r="C83" s="8"/>
      <c r="D83" s="8" t="s">
        <v>326</v>
      </c>
      <c r="E83" s="8" t="s">
        <v>327</v>
      </c>
      <c r="F83" s="8" t="s">
        <v>11</v>
      </c>
      <c r="G83" s="8"/>
      <c r="H83" s="8" t="s">
        <v>65</v>
      </c>
      <c r="I83" s="8" t="s">
        <v>18</v>
      </c>
      <c r="J83" s="8">
        <v>75</v>
      </c>
      <c r="K83" s="12">
        <v>658745.32999999996</v>
      </c>
      <c r="L83" s="12">
        <v>494059</v>
      </c>
      <c r="M83" s="12">
        <v>164686.32999999999</v>
      </c>
      <c r="N83" s="12"/>
      <c r="O83" s="12"/>
      <c r="P83" s="12"/>
      <c r="Q83" s="12"/>
      <c r="R83" s="12"/>
      <c r="S83" s="12"/>
      <c r="T83" s="3"/>
      <c r="U83" s="3">
        <v>658745.32999999996</v>
      </c>
      <c r="V83" s="3"/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4">
        <v>0</v>
      </c>
    </row>
    <row r="84" spans="1:28" ht="51" x14ac:dyDescent="0.2">
      <c r="A84" s="6">
        <v>223</v>
      </c>
      <c r="B84" s="11"/>
      <c r="C84" s="11"/>
      <c r="D84" s="11" t="s">
        <v>328</v>
      </c>
      <c r="E84" s="11" t="s">
        <v>329</v>
      </c>
      <c r="F84" s="11" t="s">
        <v>8</v>
      </c>
      <c r="G84" s="11"/>
      <c r="H84" s="11"/>
      <c r="I84" s="11"/>
      <c r="J84" s="11">
        <v>75</v>
      </c>
      <c r="K84" s="13">
        <v>27000</v>
      </c>
      <c r="L84" s="13">
        <v>20250</v>
      </c>
      <c r="M84" s="13">
        <v>6750</v>
      </c>
      <c r="N84" s="13">
        <v>13420</v>
      </c>
      <c r="O84" s="13">
        <v>13580</v>
      </c>
      <c r="P84" s="13">
        <v>0</v>
      </c>
      <c r="Q84" s="13">
        <v>0</v>
      </c>
      <c r="R84" s="13">
        <v>0</v>
      </c>
      <c r="S84" s="13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</row>
    <row r="85" spans="1:28" ht="38.25" x14ac:dyDescent="0.2">
      <c r="A85" s="6">
        <v>224</v>
      </c>
      <c r="B85" s="8">
        <v>70</v>
      </c>
      <c r="C85" s="8">
        <v>58</v>
      </c>
      <c r="D85" s="8" t="s">
        <v>330</v>
      </c>
      <c r="E85" s="8" t="s">
        <v>331</v>
      </c>
      <c r="F85" s="8" t="s">
        <v>11</v>
      </c>
      <c r="G85" s="8" t="s">
        <v>264</v>
      </c>
      <c r="H85" s="8" t="s">
        <v>185</v>
      </c>
      <c r="I85" s="8" t="s">
        <v>18</v>
      </c>
      <c r="J85" s="8">
        <v>75</v>
      </c>
      <c r="K85" s="12">
        <v>27000</v>
      </c>
      <c r="L85" s="12">
        <v>20250</v>
      </c>
      <c r="M85" s="12">
        <v>6750</v>
      </c>
      <c r="N85" s="12">
        <v>13420</v>
      </c>
      <c r="O85" s="12">
        <v>13580</v>
      </c>
      <c r="P85" s="12"/>
      <c r="Q85" s="12"/>
      <c r="R85" s="12"/>
      <c r="S85" s="12"/>
      <c r="T85" s="3"/>
      <c r="U85" s="3"/>
      <c r="V85" s="3"/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4">
        <v>0</v>
      </c>
    </row>
    <row r="86" spans="1:28" ht="25.5" x14ac:dyDescent="0.2">
      <c r="A86" s="6">
        <v>225</v>
      </c>
      <c r="B86" s="11"/>
      <c r="C86" s="11">
        <v>58</v>
      </c>
      <c r="D86" s="11" t="s">
        <v>332</v>
      </c>
      <c r="E86" s="11" t="s">
        <v>331</v>
      </c>
      <c r="F86" s="11" t="s">
        <v>15</v>
      </c>
      <c r="G86" s="11"/>
      <c r="H86" s="11"/>
      <c r="I86" s="11"/>
      <c r="J86" s="11">
        <v>75</v>
      </c>
      <c r="K86" s="13">
        <v>27000</v>
      </c>
      <c r="L86" s="13">
        <v>20250</v>
      </c>
      <c r="M86" s="13">
        <v>6750</v>
      </c>
      <c r="N86" s="13">
        <v>13420</v>
      </c>
      <c r="O86" s="13">
        <v>13580</v>
      </c>
      <c r="P86" s="13"/>
      <c r="Q86" s="13"/>
      <c r="R86" s="13"/>
      <c r="S86" s="13"/>
      <c r="T86" s="1"/>
      <c r="U86" s="1"/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</row>
    <row r="87" spans="1:28" ht="51" x14ac:dyDescent="0.2">
      <c r="A87" s="6">
        <v>226</v>
      </c>
      <c r="B87" s="8"/>
      <c r="C87" s="8"/>
      <c r="D87" s="8" t="s">
        <v>333</v>
      </c>
      <c r="E87" s="8" t="s">
        <v>334</v>
      </c>
      <c r="F87" s="8" t="s">
        <v>8</v>
      </c>
      <c r="G87" s="8"/>
      <c r="H87" s="8"/>
      <c r="I87" s="8"/>
      <c r="J87" s="8">
        <v>75</v>
      </c>
      <c r="K87" s="12">
        <v>6000</v>
      </c>
      <c r="L87" s="12">
        <v>4500</v>
      </c>
      <c r="M87" s="12">
        <v>1500</v>
      </c>
      <c r="N87" s="12">
        <v>0</v>
      </c>
      <c r="O87" s="12">
        <v>500</v>
      </c>
      <c r="P87" s="12">
        <v>1000</v>
      </c>
      <c r="Q87" s="12">
        <v>1000</v>
      </c>
      <c r="R87" s="12">
        <v>1000</v>
      </c>
      <c r="S87" s="12">
        <v>1000</v>
      </c>
      <c r="T87" s="3">
        <v>1000</v>
      </c>
      <c r="U87" s="3">
        <v>500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</row>
    <row r="88" spans="1:28" ht="51" x14ac:dyDescent="0.2">
      <c r="A88" s="6">
        <v>227</v>
      </c>
      <c r="B88" s="11">
        <v>71</v>
      </c>
      <c r="C88" s="11">
        <v>0</v>
      </c>
      <c r="D88" s="11" t="s">
        <v>335</v>
      </c>
      <c r="E88" s="11" t="s">
        <v>336</v>
      </c>
      <c r="F88" s="11" t="s">
        <v>11</v>
      </c>
      <c r="G88" s="11"/>
      <c r="H88" s="11" t="s">
        <v>315</v>
      </c>
      <c r="I88" s="11" t="s">
        <v>18</v>
      </c>
      <c r="J88" s="11">
        <v>75</v>
      </c>
      <c r="K88" s="13">
        <v>6000</v>
      </c>
      <c r="L88" s="13">
        <v>4500</v>
      </c>
      <c r="M88" s="13">
        <v>1500</v>
      </c>
      <c r="N88" s="13"/>
      <c r="O88" s="13">
        <v>500</v>
      </c>
      <c r="P88" s="13">
        <v>1000</v>
      </c>
      <c r="Q88" s="13">
        <v>1000</v>
      </c>
      <c r="R88" s="13">
        <v>1000</v>
      </c>
      <c r="S88" s="13">
        <v>1000</v>
      </c>
      <c r="T88" s="1">
        <v>1000</v>
      </c>
      <c r="U88" s="1">
        <v>500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</row>
    <row r="89" spans="1:28" ht="51" x14ac:dyDescent="0.2">
      <c r="A89" s="6">
        <v>228</v>
      </c>
      <c r="B89" s="8"/>
      <c r="C89" s="8"/>
      <c r="D89" s="8" t="s">
        <v>337</v>
      </c>
      <c r="E89" s="8" t="s">
        <v>338</v>
      </c>
      <c r="F89" s="8" t="s">
        <v>8</v>
      </c>
      <c r="G89" s="8"/>
      <c r="H89" s="8"/>
      <c r="I89" s="8"/>
      <c r="J89" s="8">
        <v>75</v>
      </c>
      <c r="K89" s="12">
        <v>1519000</v>
      </c>
      <c r="L89" s="12">
        <v>1139250</v>
      </c>
      <c r="M89" s="12">
        <v>379750</v>
      </c>
      <c r="N89" s="12">
        <v>0</v>
      </c>
      <c r="O89" s="12">
        <v>241000</v>
      </c>
      <c r="P89" s="12">
        <v>465000</v>
      </c>
      <c r="Q89" s="12">
        <v>431000</v>
      </c>
      <c r="R89" s="12">
        <v>361000</v>
      </c>
      <c r="S89" s="12">
        <v>21000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4">
        <v>0</v>
      </c>
    </row>
    <row r="90" spans="1:28" ht="38.25" x14ac:dyDescent="0.2">
      <c r="A90" s="6">
        <v>229</v>
      </c>
      <c r="B90" s="11">
        <v>72</v>
      </c>
      <c r="C90" s="11">
        <v>59</v>
      </c>
      <c r="D90" s="11" t="s">
        <v>339</v>
      </c>
      <c r="E90" s="11" t="s">
        <v>340</v>
      </c>
      <c r="F90" s="11" t="s">
        <v>11</v>
      </c>
      <c r="G90" s="11" t="s">
        <v>264</v>
      </c>
      <c r="H90" s="11" t="s">
        <v>185</v>
      </c>
      <c r="I90" s="11" t="s">
        <v>18</v>
      </c>
      <c r="J90" s="11">
        <v>75</v>
      </c>
      <c r="K90" s="13">
        <v>540000</v>
      </c>
      <c r="L90" s="13">
        <v>405000</v>
      </c>
      <c r="M90" s="13">
        <v>135000</v>
      </c>
      <c r="N90" s="13"/>
      <c r="O90" s="13">
        <v>200000</v>
      </c>
      <c r="P90" s="13"/>
      <c r="Q90" s="13"/>
      <c r="R90" s="13">
        <v>340000</v>
      </c>
      <c r="S90" s="13"/>
      <c r="T90" s="1"/>
      <c r="U90" s="1"/>
      <c r="V90" s="1"/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</row>
    <row r="91" spans="1:28" ht="25.5" x14ac:dyDescent="0.2">
      <c r="A91" s="6">
        <v>230</v>
      </c>
      <c r="B91" s="8"/>
      <c r="C91" s="8">
        <v>59</v>
      </c>
      <c r="D91" s="8" t="s">
        <v>341</v>
      </c>
      <c r="E91" s="8" t="s">
        <v>340</v>
      </c>
      <c r="F91" s="8" t="s">
        <v>15</v>
      </c>
      <c r="G91" s="8"/>
      <c r="H91" s="8"/>
      <c r="I91" s="8"/>
      <c r="J91" s="8">
        <v>75</v>
      </c>
      <c r="K91" s="12">
        <v>540000</v>
      </c>
      <c r="L91" s="12">
        <v>405000</v>
      </c>
      <c r="M91" s="12">
        <v>135000</v>
      </c>
      <c r="N91" s="12"/>
      <c r="O91" s="12">
        <v>200000</v>
      </c>
      <c r="P91" s="12"/>
      <c r="Q91" s="12"/>
      <c r="R91" s="12">
        <v>340000</v>
      </c>
      <c r="S91" s="12"/>
      <c r="T91" s="3"/>
      <c r="U91" s="3"/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</row>
    <row r="92" spans="1:28" ht="38.25" x14ac:dyDescent="0.2">
      <c r="A92" s="6">
        <v>231</v>
      </c>
      <c r="B92" s="11">
        <v>73</v>
      </c>
      <c r="C92" s="11">
        <v>0</v>
      </c>
      <c r="D92" s="11" t="s">
        <v>342</v>
      </c>
      <c r="E92" s="11" t="s">
        <v>343</v>
      </c>
      <c r="F92" s="11" t="s">
        <v>11</v>
      </c>
      <c r="G92" s="11"/>
      <c r="H92" s="11" t="s">
        <v>284</v>
      </c>
      <c r="I92" s="11" t="s">
        <v>18</v>
      </c>
      <c r="J92" s="11">
        <v>75</v>
      </c>
      <c r="K92" s="13">
        <v>300000</v>
      </c>
      <c r="L92" s="13">
        <v>225000</v>
      </c>
      <c r="M92" s="13">
        <v>75000</v>
      </c>
      <c r="N92" s="13"/>
      <c r="O92" s="13">
        <v>20000</v>
      </c>
      <c r="P92" s="13">
        <v>280000</v>
      </c>
      <c r="Q92" s="13"/>
      <c r="R92" s="13"/>
      <c r="S92" s="13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</row>
    <row r="93" spans="1:28" ht="38.25" x14ac:dyDescent="0.2">
      <c r="A93" s="6">
        <v>232</v>
      </c>
      <c r="B93" s="8">
        <v>74</v>
      </c>
      <c r="C93" s="8">
        <v>0</v>
      </c>
      <c r="D93" s="8" t="s">
        <v>344</v>
      </c>
      <c r="E93" s="8" t="s">
        <v>345</v>
      </c>
      <c r="F93" s="8" t="s">
        <v>11</v>
      </c>
      <c r="G93" s="8"/>
      <c r="H93" s="8" t="s">
        <v>284</v>
      </c>
      <c r="I93" s="8" t="s">
        <v>18</v>
      </c>
      <c r="J93" s="8">
        <v>75</v>
      </c>
      <c r="K93" s="12">
        <v>20000</v>
      </c>
      <c r="L93" s="12">
        <v>15000</v>
      </c>
      <c r="M93" s="12">
        <v>5000</v>
      </c>
      <c r="N93" s="12"/>
      <c r="O93" s="12"/>
      <c r="P93" s="12">
        <v>10000</v>
      </c>
      <c r="Q93" s="12">
        <v>10000</v>
      </c>
      <c r="R93" s="12"/>
      <c r="S93" s="12"/>
      <c r="T93" s="3"/>
      <c r="U93" s="3"/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</row>
    <row r="94" spans="1:28" ht="38.25" x14ac:dyDescent="0.2">
      <c r="A94" s="6">
        <v>233</v>
      </c>
      <c r="B94" s="11">
        <v>75</v>
      </c>
      <c r="C94" s="11">
        <v>0</v>
      </c>
      <c r="D94" s="11" t="s">
        <v>346</v>
      </c>
      <c r="E94" s="11" t="s">
        <v>347</v>
      </c>
      <c r="F94" s="11" t="s">
        <v>11</v>
      </c>
      <c r="G94" s="11"/>
      <c r="H94" s="11" t="s">
        <v>284</v>
      </c>
      <c r="I94" s="11" t="s">
        <v>18</v>
      </c>
      <c r="J94" s="11">
        <v>75</v>
      </c>
      <c r="K94" s="13">
        <v>400000</v>
      </c>
      <c r="L94" s="13">
        <v>300000</v>
      </c>
      <c r="M94" s="13">
        <v>100000</v>
      </c>
      <c r="N94" s="13"/>
      <c r="O94" s="13"/>
      <c r="P94" s="13"/>
      <c r="Q94" s="13">
        <v>400000</v>
      </c>
      <c r="R94" s="13"/>
      <c r="S94" s="13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</row>
    <row r="95" spans="1:28" ht="38.25" x14ac:dyDescent="0.2">
      <c r="A95" s="6">
        <v>234</v>
      </c>
      <c r="B95" s="8">
        <v>76</v>
      </c>
      <c r="C95" s="8">
        <v>0</v>
      </c>
      <c r="D95" s="8" t="s">
        <v>348</v>
      </c>
      <c r="E95" s="8" t="s">
        <v>349</v>
      </c>
      <c r="F95" s="8" t="s">
        <v>11</v>
      </c>
      <c r="G95" s="8"/>
      <c r="H95" s="8" t="s">
        <v>284</v>
      </c>
      <c r="I95" s="8" t="s">
        <v>18</v>
      </c>
      <c r="J95" s="8">
        <v>75</v>
      </c>
      <c r="K95" s="12">
        <v>105000</v>
      </c>
      <c r="L95" s="12">
        <v>78750</v>
      </c>
      <c r="M95" s="12">
        <v>26250</v>
      </c>
      <c r="N95" s="12"/>
      <c r="O95" s="12">
        <v>21000</v>
      </c>
      <c r="P95" s="12">
        <v>21000</v>
      </c>
      <c r="Q95" s="12">
        <v>21000</v>
      </c>
      <c r="R95" s="12">
        <v>21000</v>
      </c>
      <c r="S95" s="12">
        <v>21000</v>
      </c>
      <c r="T95" s="3"/>
      <c r="U95" s="3"/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</row>
    <row r="96" spans="1:28" ht="38.25" x14ac:dyDescent="0.2">
      <c r="A96" s="6">
        <v>235</v>
      </c>
      <c r="B96" s="11">
        <v>77</v>
      </c>
      <c r="C96" s="11">
        <v>0</v>
      </c>
      <c r="D96" s="11" t="s">
        <v>350</v>
      </c>
      <c r="E96" s="11" t="s">
        <v>351</v>
      </c>
      <c r="F96" s="11" t="s">
        <v>11</v>
      </c>
      <c r="G96" s="11"/>
      <c r="H96" s="11" t="s">
        <v>185</v>
      </c>
      <c r="I96" s="11" t="s">
        <v>18</v>
      </c>
      <c r="J96" s="11">
        <v>75</v>
      </c>
      <c r="K96" s="13">
        <v>154000</v>
      </c>
      <c r="L96" s="13">
        <v>115500</v>
      </c>
      <c r="M96" s="13">
        <v>38500</v>
      </c>
      <c r="N96" s="13"/>
      <c r="O96" s="13"/>
      <c r="P96" s="13">
        <v>154000</v>
      </c>
      <c r="Q96" s="13"/>
      <c r="R96" s="13"/>
      <c r="S96" s="13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</row>
    <row r="97" spans="1:28" ht="25.5" x14ac:dyDescent="0.2">
      <c r="A97" s="6">
        <v>236</v>
      </c>
      <c r="B97" s="8"/>
      <c r="C97" s="8"/>
      <c r="D97" s="8" t="s">
        <v>352</v>
      </c>
      <c r="E97" s="8" t="s">
        <v>353</v>
      </c>
      <c r="F97" s="8" t="s">
        <v>15</v>
      </c>
      <c r="G97" s="8"/>
      <c r="H97" s="8"/>
      <c r="I97" s="8"/>
      <c r="J97" s="8">
        <v>75</v>
      </c>
      <c r="K97" s="12">
        <v>154000</v>
      </c>
      <c r="L97" s="12">
        <v>115500</v>
      </c>
      <c r="M97" s="12">
        <v>38500</v>
      </c>
      <c r="N97" s="12"/>
      <c r="O97" s="12"/>
      <c r="P97" s="12">
        <v>154000</v>
      </c>
      <c r="Q97" s="12"/>
      <c r="R97" s="12"/>
      <c r="S97" s="12"/>
      <c r="T97" s="3"/>
      <c r="U97" s="3"/>
      <c r="V97" s="3"/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</row>
    <row r="98" spans="1:28" x14ac:dyDescent="0.2">
      <c r="A98" s="6">
        <v>237</v>
      </c>
      <c r="B98" s="11"/>
      <c r="C98" s="11"/>
      <c r="D98" s="11" t="s">
        <v>354</v>
      </c>
      <c r="E98" s="11" t="s">
        <v>355</v>
      </c>
      <c r="F98" s="11" t="s">
        <v>5</v>
      </c>
      <c r="G98" s="11"/>
      <c r="H98" s="11"/>
      <c r="I98" s="11"/>
      <c r="J98" s="11">
        <v>75</v>
      </c>
      <c r="K98" s="13">
        <v>2700000</v>
      </c>
      <c r="L98" s="13">
        <v>2017692</v>
      </c>
      <c r="M98" s="13">
        <v>672564</v>
      </c>
      <c r="N98" s="13">
        <v>20000</v>
      </c>
      <c r="O98" s="13">
        <v>260000</v>
      </c>
      <c r="P98" s="13">
        <v>870000</v>
      </c>
      <c r="Q98" s="13">
        <v>20000</v>
      </c>
      <c r="R98" s="13">
        <v>810000</v>
      </c>
      <c r="S98" s="13">
        <v>720000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</row>
    <row r="99" spans="1:28" ht="51" x14ac:dyDescent="0.2">
      <c r="A99" s="6">
        <v>238</v>
      </c>
      <c r="B99" s="8"/>
      <c r="C99" s="8"/>
      <c r="D99" s="8" t="s">
        <v>356</v>
      </c>
      <c r="E99" s="8" t="s">
        <v>357</v>
      </c>
      <c r="F99" s="8" t="s">
        <v>8</v>
      </c>
      <c r="G99" s="8"/>
      <c r="H99" s="8"/>
      <c r="I99" s="8"/>
      <c r="J99" s="8">
        <v>75</v>
      </c>
      <c r="K99" s="12">
        <v>2520000</v>
      </c>
      <c r="L99" s="12">
        <v>1890000</v>
      </c>
      <c r="M99" s="12">
        <v>630000</v>
      </c>
      <c r="N99" s="12">
        <v>20000</v>
      </c>
      <c r="O99" s="12">
        <v>260000</v>
      </c>
      <c r="P99" s="12">
        <v>780000</v>
      </c>
      <c r="Q99" s="12">
        <v>20000</v>
      </c>
      <c r="R99" s="12">
        <v>720000</v>
      </c>
      <c r="S99" s="12">
        <v>720000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</row>
    <row r="100" spans="1:28" ht="38.25" x14ac:dyDescent="0.2">
      <c r="A100" s="6">
        <v>239</v>
      </c>
      <c r="B100" s="11">
        <v>78</v>
      </c>
      <c r="C100" s="11">
        <v>0</v>
      </c>
      <c r="D100" s="11" t="s">
        <v>358</v>
      </c>
      <c r="E100" s="11" t="s">
        <v>359</v>
      </c>
      <c r="F100" s="11" t="s">
        <v>11</v>
      </c>
      <c r="G100" s="11"/>
      <c r="H100" s="11" t="s">
        <v>284</v>
      </c>
      <c r="I100" s="11" t="s">
        <v>18</v>
      </c>
      <c r="J100" s="11">
        <v>75</v>
      </c>
      <c r="K100" s="13">
        <v>160000</v>
      </c>
      <c r="L100" s="13">
        <v>120000</v>
      </c>
      <c r="M100" s="13">
        <v>40000</v>
      </c>
      <c r="N100" s="13">
        <v>20000</v>
      </c>
      <c r="O100" s="13">
        <v>60000</v>
      </c>
      <c r="P100" s="13">
        <v>60000</v>
      </c>
      <c r="Q100" s="13">
        <v>20000</v>
      </c>
      <c r="R100" s="13"/>
      <c r="S100" s="13"/>
      <c r="T100" s="1"/>
      <c r="U100" s="1"/>
      <c r="V100" s="1"/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</row>
    <row r="101" spans="1:28" ht="38.25" x14ac:dyDescent="0.2">
      <c r="A101" s="6">
        <v>240</v>
      </c>
      <c r="B101" s="8">
        <v>79</v>
      </c>
      <c r="C101" s="8">
        <v>61</v>
      </c>
      <c r="D101" s="8" t="s">
        <v>360</v>
      </c>
      <c r="E101" s="8" t="s">
        <v>361</v>
      </c>
      <c r="F101" s="8" t="s">
        <v>11</v>
      </c>
      <c r="G101" s="8" t="s">
        <v>264</v>
      </c>
      <c r="H101" s="8" t="s">
        <v>185</v>
      </c>
      <c r="I101" s="8" t="s">
        <v>18</v>
      </c>
      <c r="J101" s="8">
        <v>75</v>
      </c>
      <c r="K101" s="12">
        <v>2160000</v>
      </c>
      <c r="L101" s="12">
        <v>1620000</v>
      </c>
      <c r="M101" s="12">
        <v>540000</v>
      </c>
      <c r="N101" s="12"/>
      <c r="O101" s="12"/>
      <c r="P101" s="12">
        <v>720000</v>
      </c>
      <c r="Q101" s="12"/>
      <c r="R101" s="12">
        <v>720000</v>
      </c>
      <c r="S101" s="12">
        <v>720000</v>
      </c>
      <c r="T101" s="3"/>
      <c r="U101" s="3"/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</row>
    <row r="102" spans="1:28" ht="25.5" x14ac:dyDescent="0.2">
      <c r="A102" s="6">
        <v>241</v>
      </c>
      <c r="B102" s="11"/>
      <c r="C102" s="11">
        <v>61</v>
      </c>
      <c r="D102" s="11" t="s">
        <v>362</v>
      </c>
      <c r="E102" s="11" t="s">
        <v>361</v>
      </c>
      <c r="F102" s="11" t="s">
        <v>15</v>
      </c>
      <c r="G102" s="11"/>
      <c r="H102" s="11"/>
      <c r="I102" s="11"/>
      <c r="J102" s="11">
        <v>75</v>
      </c>
      <c r="K102" s="13">
        <v>1440000</v>
      </c>
      <c r="L102" s="13">
        <v>1080000</v>
      </c>
      <c r="M102" s="13">
        <v>360000</v>
      </c>
      <c r="N102" s="13"/>
      <c r="O102" s="13"/>
      <c r="P102" s="13">
        <v>720000</v>
      </c>
      <c r="Q102" s="13"/>
      <c r="R102" s="13">
        <v>720000</v>
      </c>
      <c r="S102" s="13"/>
      <c r="T102" s="1"/>
      <c r="U102" s="1"/>
      <c r="V102" s="1"/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2">
        <v>0</v>
      </c>
    </row>
    <row r="103" spans="1:28" ht="38.25" x14ac:dyDescent="0.2">
      <c r="A103" s="6">
        <v>242</v>
      </c>
      <c r="B103" s="8">
        <v>80</v>
      </c>
      <c r="C103" s="8">
        <v>62</v>
      </c>
      <c r="D103" s="8" t="s">
        <v>363</v>
      </c>
      <c r="E103" s="8" t="s">
        <v>364</v>
      </c>
      <c r="F103" s="8" t="s">
        <v>11</v>
      </c>
      <c r="G103" s="8" t="s">
        <v>264</v>
      </c>
      <c r="H103" s="8" t="s">
        <v>185</v>
      </c>
      <c r="I103" s="8" t="s">
        <v>18</v>
      </c>
      <c r="J103" s="8">
        <v>75</v>
      </c>
      <c r="K103" s="12">
        <v>200000</v>
      </c>
      <c r="L103" s="12">
        <v>150000</v>
      </c>
      <c r="M103" s="12">
        <v>50000</v>
      </c>
      <c r="N103" s="12"/>
      <c r="O103" s="12">
        <v>200000</v>
      </c>
      <c r="P103" s="12"/>
      <c r="Q103" s="12"/>
      <c r="R103" s="12"/>
      <c r="S103" s="12"/>
      <c r="T103" s="3"/>
      <c r="U103" s="3"/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</row>
    <row r="104" spans="1:28" ht="25.5" x14ac:dyDescent="0.2">
      <c r="A104" s="6">
        <v>243</v>
      </c>
      <c r="B104" s="11"/>
      <c r="C104" s="11">
        <v>62</v>
      </c>
      <c r="D104" s="11" t="s">
        <v>365</v>
      </c>
      <c r="E104" s="11" t="s">
        <v>364</v>
      </c>
      <c r="F104" s="11" t="s">
        <v>15</v>
      </c>
      <c r="G104" s="11"/>
      <c r="H104" s="11"/>
      <c r="I104" s="11"/>
      <c r="J104" s="11">
        <v>75</v>
      </c>
      <c r="K104" s="13">
        <v>200000</v>
      </c>
      <c r="L104" s="13">
        <v>150000</v>
      </c>
      <c r="M104" s="13">
        <v>50000</v>
      </c>
      <c r="N104" s="13"/>
      <c r="O104" s="13">
        <v>200000</v>
      </c>
      <c r="P104" s="13"/>
      <c r="Q104" s="13"/>
      <c r="R104" s="13"/>
      <c r="S104" s="13"/>
      <c r="T104" s="1"/>
      <c r="U104" s="1"/>
      <c r="V104" s="1"/>
      <c r="W104" s="1">
        <v>163522.32</v>
      </c>
      <c r="X104" s="1">
        <v>122641.73</v>
      </c>
      <c r="Y104" s="1">
        <v>81.760000000000005</v>
      </c>
      <c r="Z104" s="1">
        <v>122641.73</v>
      </c>
      <c r="AA104" s="1">
        <v>40880.589999999997</v>
      </c>
      <c r="AB104" s="2">
        <v>0</v>
      </c>
    </row>
    <row r="105" spans="1:28" ht="51" x14ac:dyDescent="0.2">
      <c r="A105" s="6">
        <v>244</v>
      </c>
      <c r="B105" s="8"/>
      <c r="C105" s="8"/>
      <c r="D105" s="8" t="s">
        <v>366</v>
      </c>
      <c r="E105" s="8" t="s">
        <v>367</v>
      </c>
      <c r="F105" s="8" t="s">
        <v>8</v>
      </c>
      <c r="G105" s="8"/>
      <c r="H105" s="8"/>
      <c r="I105" s="8"/>
      <c r="J105" s="8">
        <v>75</v>
      </c>
      <c r="K105" s="12">
        <v>180000</v>
      </c>
      <c r="L105" s="12">
        <v>135000</v>
      </c>
      <c r="M105" s="12">
        <v>45000</v>
      </c>
      <c r="N105" s="12">
        <v>0</v>
      </c>
      <c r="O105" s="12">
        <v>0</v>
      </c>
      <c r="P105" s="12">
        <v>90000</v>
      </c>
      <c r="Q105" s="12">
        <v>0</v>
      </c>
      <c r="R105" s="12">
        <v>90000</v>
      </c>
      <c r="S105" s="12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4">
        <v>0</v>
      </c>
    </row>
    <row r="106" spans="1:28" ht="38.25" x14ac:dyDescent="0.2">
      <c r="A106" s="6">
        <v>245</v>
      </c>
      <c r="B106" s="11">
        <v>81</v>
      </c>
      <c r="C106" s="11">
        <v>63</v>
      </c>
      <c r="D106" s="11" t="s">
        <v>368</v>
      </c>
      <c r="E106" s="11" t="s">
        <v>369</v>
      </c>
      <c r="F106" s="11" t="s">
        <v>11</v>
      </c>
      <c r="G106" s="11" t="s">
        <v>264</v>
      </c>
      <c r="H106" s="11" t="s">
        <v>185</v>
      </c>
      <c r="I106" s="11" t="s">
        <v>18</v>
      </c>
      <c r="J106" s="11">
        <v>75</v>
      </c>
      <c r="K106" s="13">
        <v>180000</v>
      </c>
      <c r="L106" s="13">
        <v>135000</v>
      </c>
      <c r="M106" s="13">
        <v>45000</v>
      </c>
      <c r="N106" s="13"/>
      <c r="O106" s="13"/>
      <c r="P106" s="13">
        <v>90000</v>
      </c>
      <c r="Q106" s="13"/>
      <c r="R106" s="13">
        <v>90000</v>
      </c>
      <c r="S106" s="13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</row>
    <row r="107" spans="1:28" ht="25.5" x14ac:dyDescent="0.2">
      <c r="A107" s="6">
        <v>246</v>
      </c>
      <c r="B107" s="8"/>
      <c r="C107" s="8">
        <v>63</v>
      </c>
      <c r="D107" s="8" t="s">
        <v>370</v>
      </c>
      <c r="E107" s="8" t="s">
        <v>369</v>
      </c>
      <c r="F107" s="8" t="s">
        <v>15</v>
      </c>
      <c r="G107" s="8"/>
      <c r="H107" s="8"/>
      <c r="I107" s="8"/>
      <c r="J107" s="8">
        <v>75</v>
      </c>
      <c r="K107" s="12">
        <v>180000</v>
      </c>
      <c r="L107" s="12">
        <v>135000</v>
      </c>
      <c r="M107" s="12">
        <v>45000</v>
      </c>
      <c r="N107" s="12"/>
      <c r="O107" s="12"/>
      <c r="P107" s="12">
        <v>90000</v>
      </c>
      <c r="Q107" s="12"/>
      <c r="R107" s="12">
        <v>90000</v>
      </c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</row>
    <row r="108" spans="1:28" ht="51" x14ac:dyDescent="0.2">
      <c r="A108" s="6">
        <v>247</v>
      </c>
      <c r="B108" s="11"/>
      <c r="C108" s="11"/>
      <c r="D108" s="11" t="s">
        <v>371</v>
      </c>
      <c r="E108" s="11" t="s">
        <v>372</v>
      </c>
      <c r="F108" s="11" t="s">
        <v>8</v>
      </c>
      <c r="G108" s="11"/>
      <c r="H108" s="11"/>
      <c r="I108" s="11"/>
      <c r="J108" s="11"/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/>
      <c r="Z108" s="1">
        <v>0</v>
      </c>
      <c r="AA108" s="1">
        <v>0</v>
      </c>
      <c r="AB108" s="2">
        <v>0</v>
      </c>
    </row>
    <row r="109" spans="1:28" ht="38.25" x14ac:dyDescent="0.2">
      <c r="A109" s="6">
        <v>248</v>
      </c>
      <c r="B109" s="8"/>
      <c r="C109" s="8"/>
      <c r="D109" s="8" t="s">
        <v>373</v>
      </c>
      <c r="E109" s="8" t="s">
        <v>374</v>
      </c>
      <c r="F109" s="8" t="s">
        <v>8</v>
      </c>
      <c r="G109" s="8"/>
      <c r="H109" s="8"/>
      <c r="I109" s="8"/>
      <c r="J109" s="8"/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/>
      <c r="Z109" s="3">
        <v>0</v>
      </c>
      <c r="AA109" s="3">
        <v>0</v>
      </c>
      <c r="AB109" s="4">
        <v>0</v>
      </c>
    </row>
    <row r="110" spans="1:28" x14ac:dyDescent="0.2">
      <c r="A110" s="6">
        <v>249</v>
      </c>
      <c r="B110" s="11"/>
      <c r="C110" s="11"/>
      <c r="D110" s="11" t="s">
        <v>375</v>
      </c>
      <c r="E110" s="11" t="s">
        <v>195</v>
      </c>
      <c r="F110" s="11" t="s">
        <v>5</v>
      </c>
      <c r="G110" s="11"/>
      <c r="H110" s="11"/>
      <c r="I110" s="11"/>
      <c r="J110" s="11">
        <v>75</v>
      </c>
      <c r="K110" s="13">
        <v>4830886.67</v>
      </c>
      <c r="L110" s="13">
        <v>3630473</v>
      </c>
      <c r="M110" s="13">
        <v>1210157.67</v>
      </c>
      <c r="N110" s="13">
        <v>339300</v>
      </c>
      <c r="O110" s="13">
        <v>1161000</v>
      </c>
      <c r="P110" s="13">
        <v>1285300</v>
      </c>
      <c r="Q110" s="13">
        <v>720000</v>
      </c>
      <c r="R110" s="13">
        <v>1147300</v>
      </c>
      <c r="S110" s="13">
        <v>10000</v>
      </c>
      <c r="T110" s="1">
        <v>0</v>
      </c>
      <c r="U110" s="1">
        <v>167986.67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2">
        <v>0</v>
      </c>
    </row>
    <row r="111" spans="1:28" ht="51" x14ac:dyDescent="0.2">
      <c r="A111" s="6">
        <v>250</v>
      </c>
      <c r="B111" s="8"/>
      <c r="C111" s="8"/>
      <c r="D111" s="8" t="s">
        <v>376</v>
      </c>
      <c r="E111" s="8" t="s">
        <v>377</v>
      </c>
      <c r="F111" s="8" t="s">
        <v>8</v>
      </c>
      <c r="G111" s="8"/>
      <c r="H111" s="8"/>
      <c r="I111" s="8"/>
      <c r="J111" s="8">
        <v>75</v>
      </c>
      <c r="K111" s="12">
        <v>1600000</v>
      </c>
      <c r="L111" s="12">
        <v>1200000</v>
      </c>
      <c r="M111" s="12">
        <v>400000</v>
      </c>
      <c r="N111" s="12">
        <v>22000</v>
      </c>
      <c r="O111" s="12">
        <v>778000</v>
      </c>
      <c r="P111" s="12">
        <v>800000</v>
      </c>
      <c r="Q111" s="12">
        <v>0</v>
      </c>
      <c r="R111" s="12">
        <v>0</v>
      </c>
      <c r="S111" s="12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4">
        <v>0</v>
      </c>
    </row>
    <row r="112" spans="1:28" ht="51" x14ac:dyDescent="0.2">
      <c r="A112" s="6">
        <v>251</v>
      </c>
      <c r="B112" s="11">
        <v>82</v>
      </c>
      <c r="C112" s="11">
        <v>64</v>
      </c>
      <c r="D112" s="11" t="s">
        <v>378</v>
      </c>
      <c r="E112" s="11" t="s">
        <v>377</v>
      </c>
      <c r="F112" s="11" t="s">
        <v>11</v>
      </c>
      <c r="G112" s="11" t="s">
        <v>264</v>
      </c>
      <c r="H112" s="11" t="s">
        <v>379</v>
      </c>
      <c r="I112" s="11" t="s">
        <v>18</v>
      </c>
      <c r="J112" s="11">
        <v>75</v>
      </c>
      <c r="K112" s="13">
        <v>1600000</v>
      </c>
      <c r="L112" s="13">
        <v>1200000</v>
      </c>
      <c r="M112" s="13">
        <v>400000</v>
      </c>
      <c r="N112" s="13">
        <v>22000</v>
      </c>
      <c r="O112" s="13">
        <v>778000</v>
      </c>
      <c r="P112" s="13">
        <v>800000</v>
      </c>
      <c r="Q112" s="13"/>
      <c r="R112" s="13"/>
      <c r="S112" s="13"/>
      <c r="T112" s="1"/>
      <c r="U112" s="1"/>
      <c r="V112" s="1"/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2">
        <v>0</v>
      </c>
    </row>
    <row r="113" spans="1:28" ht="102" x14ac:dyDescent="0.2">
      <c r="A113" s="6">
        <v>252</v>
      </c>
      <c r="B113" s="8"/>
      <c r="C113" s="8">
        <v>64</v>
      </c>
      <c r="D113" s="8" t="s">
        <v>380</v>
      </c>
      <c r="E113" s="8" t="s">
        <v>381</v>
      </c>
      <c r="F113" s="8" t="s">
        <v>15</v>
      </c>
      <c r="G113" s="8"/>
      <c r="H113" s="8"/>
      <c r="I113" s="8"/>
      <c r="J113" s="8">
        <v>75</v>
      </c>
      <c r="K113" s="12">
        <v>1600000</v>
      </c>
      <c r="L113" s="12">
        <v>1200000</v>
      </c>
      <c r="M113" s="12">
        <v>400000</v>
      </c>
      <c r="N113" s="12">
        <v>22000</v>
      </c>
      <c r="O113" s="12">
        <v>778000</v>
      </c>
      <c r="P113" s="12">
        <v>800000</v>
      </c>
      <c r="Q113" s="12"/>
      <c r="R113" s="12"/>
      <c r="S113" s="12"/>
      <c r="T113" s="3"/>
      <c r="U113" s="3"/>
      <c r="V113" s="3"/>
      <c r="W113" s="3">
        <v>8747.59</v>
      </c>
      <c r="X113" s="3">
        <v>6560.67</v>
      </c>
      <c r="Y113" s="3">
        <v>0.55000000000000004</v>
      </c>
      <c r="Z113" s="3">
        <v>0</v>
      </c>
      <c r="AA113" s="3">
        <v>8747.59</v>
      </c>
      <c r="AB113" s="4">
        <v>0</v>
      </c>
    </row>
    <row r="114" spans="1:28" ht="51" x14ac:dyDescent="0.2">
      <c r="A114" s="6">
        <v>253</v>
      </c>
      <c r="B114" s="11"/>
      <c r="C114" s="11"/>
      <c r="D114" s="11" t="s">
        <v>382</v>
      </c>
      <c r="E114" s="11" t="s">
        <v>383</v>
      </c>
      <c r="F114" s="11" t="s">
        <v>8</v>
      </c>
      <c r="G114" s="11"/>
      <c r="H114" s="11"/>
      <c r="I114" s="11"/>
      <c r="J114" s="11">
        <v>75</v>
      </c>
      <c r="K114" s="13">
        <v>300000</v>
      </c>
      <c r="L114" s="13">
        <v>225000</v>
      </c>
      <c r="M114" s="13">
        <v>75000</v>
      </c>
      <c r="N114" s="13">
        <v>60000</v>
      </c>
      <c r="O114" s="13">
        <v>60000</v>
      </c>
      <c r="P114" s="13">
        <v>60000</v>
      </c>
      <c r="Q114" s="13">
        <v>60000</v>
      </c>
      <c r="R114" s="13">
        <v>60000</v>
      </c>
      <c r="S114" s="13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2">
        <v>0</v>
      </c>
    </row>
    <row r="115" spans="1:28" ht="38.25" x14ac:dyDescent="0.2">
      <c r="A115" s="6">
        <v>254</v>
      </c>
      <c r="B115" s="8">
        <v>83</v>
      </c>
      <c r="C115" s="8">
        <v>65</v>
      </c>
      <c r="D115" s="8" t="s">
        <v>384</v>
      </c>
      <c r="E115" s="8" t="s">
        <v>385</v>
      </c>
      <c r="F115" s="8" t="s">
        <v>11</v>
      </c>
      <c r="G115" s="8" t="s">
        <v>264</v>
      </c>
      <c r="H115" s="8" t="s">
        <v>386</v>
      </c>
      <c r="I115" s="8" t="s">
        <v>18</v>
      </c>
      <c r="J115" s="8">
        <v>75</v>
      </c>
      <c r="K115" s="12">
        <v>300000</v>
      </c>
      <c r="L115" s="12">
        <v>225000</v>
      </c>
      <c r="M115" s="12">
        <v>75000</v>
      </c>
      <c r="N115" s="12">
        <v>60000</v>
      </c>
      <c r="O115" s="12">
        <v>60000</v>
      </c>
      <c r="P115" s="12">
        <v>60000</v>
      </c>
      <c r="Q115" s="12">
        <v>60000</v>
      </c>
      <c r="R115" s="12">
        <v>60000</v>
      </c>
      <c r="S115" s="12"/>
      <c r="T115" s="3"/>
      <c r="U115" s="3"/>
      <c r="V115" s="3"/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4">
        <v>0</v>
      </c>
    </row>
    <row r="116" spans="1:28" ht="102" x14ac:dyDescent="0.2">
      <c r="A116" s="6">
        <v>255</v>
      </c>
      <c r="B116" s="11"/>
      <c r="C116" s="11">
        <v>65</v>
      </c>
      <c r="D116" s="11" t="s">
        <v>387</v>
      </c>
      <c r="E116" s="11" t="s">
        <v>388</v>
      </c>
      <c r="F116" s="11" t="s">
        <v>15</v>
      </c>
      <c r="G116" s="11"/>
      <c r="H116" s="11"/>
      <c r="I116" s="11"/>
      <c r="J116" s="11">
        <v>75</v>
      </c>
      <c r="K116" s="13">
        <v>180000</v>
      </c>
      <c r="L116" s="13">
        <v>135000</v>
      </c>
      <c r="M116" s="13">
        <v>45000</v>
      </c>
      <c r="N116" s="13">
        <v>60000</v>
      </c>
      <c r="O116" s="13">
        <v>60000</v>
      </c>
      <c r="P116" s="13">
        <v>60000</v>
      </c>
      <c r="Q116" s="13"/>
      <c r="R116" s="13"/>
      <c r="S116" s="13"/>
      <c r="T116" s="1"/>
      <c r="U116" s="1"/>
      <c r="V116" s="1"/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2">
        <v>0</v>
      </c>
    </row>
    <row r="117" spans="1:28" ht="51" x14ac:dyDescent="0.2">
      <c r="A117" s="6">
        <v>256</v>
      </c>
      <c r="B117" s="8"/>
      <c r="C117" s="8"/>
      <c r="D117" s="8" t="s">
        <v>389</v>
      </c>
      <c r="E117" s="8" t="s">
        <v>390</v>
      </c>
      <c r="F117" s="8" t="s">
        <v>8</v>
      </c>
      <c r="G117" s="8"/>
      <c r="H117" s="8"/>
      <c r="I117" s="8"/>
      <c r="J117" s="8">
        <v>75</v>
      </c>
      <c r="K117" s="12">
        <v>2302900</v>
      </c>
      <c r="L117" s="12">
        <v>1727175</v>
      </c>
      <c r="M117" s="12">
        <v>575725</v>
      </c>
      <c r="N117" s="12">
        <v>257300</v>
      </c>
      <c r="O117" s="12">
        <v>323000</v>
      </c>
      <c r="P117" s="12">
        <v>245300</v>
      </c>
      <c r="Q117" s="12">
        <v>660000</v>
      </c>
      <c r="R117" s="12">
        <v>807300</v>
      </c>
      <c r="S117" s="12">
        <v>10000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4">
        <v>0</v>
      </c>
    </row>
    <row r="118" spans="1:28" ht="38.25" x14ac:dyDescent="0.2">
      <c r="A118" s="6">
        <v>257</v>
      </c>
      <c r="B118" s="11">
        <v>84</v>
      </c>
      <c r="C118" s="11">
        <v>66</v>
      </c>
      <c r="D118" s="11" t="s">
        <v>391</v>
      </c>
      <c r="E118" s="11" t="s">
        <v>392</v>
      </c>
      <c r="F118" s="11" t="s">
        <v>11</v>
      </c>
      <c r="G118" s="11" t="s">
        <v>264</v>
      </c>
      <c r="H118" s="11" t="s">
        <v>185</v>
      </c>
      <c r="I118" s="11" t="s">
        <v>18</v>
      </c>
      <c r="J118" s="11">
        <v>75</v>
      </c>
      <c r="K118" s="13">
        <v>2302900</v>
      </c>
      <c r="L118" s="13">
        <v>1727175</v>
      </c>
      <c r="M118" s="13">
        <v>575725</v>
      </c>
      <c r="N118" s="13">
        <v>257300</v>
      </c>
      <c r="O118" s="13">
        <v>323000</v>
      </c>
      <c r="P118" s="13">
        <v>245300</v>
      </c>
      <c r="Q118" s="13">
        <v>660000</v>
      </c>
      <c r="R118" s="13">
        <v>807300</v>
      </c>
      <c r="S118" s="13">
        <v>10000</v>
      </c>
      <c r="T118" s="1"/>
      <c r="U118" s="1"/>
      <c r="V118" s="1"/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</row>
    <row r="119" spans="1:28" ht="38.25" x14ac:dyDescent="0.2">
      <c r="A119" s="6">
        <v>258</v>
      </c>
      <c r="B119" s="8"/>
      <c r="C119" s="8">
        <v>66</v>
      </c>
      <c r="D119" s="8" t="s">
        <v>393</v>
      </c>
      <c r="E119" s="8" t="s">
        <v>392</v>
      </c>
      <c r="F119" s="8" t="s">
        <v>15</v>
      </c>
      <c r="G119" s="8"/>
      <c r="H119" s="8"/>
      <c r="I119" s="8"/>
      <c r="J119" s="8">
        <v>75</v>
      </c>
      <c r="K119" s="12">
        <v>1228300</v>
      </c>
      <c r="L119" s="12">
        <v>921225</v>
      </c>
      <c r="M119" s="12">
        <v>307075</v>
      </c>
      <c r="N119" s="12"/>
      <c r="O119" s="12">
        <v>323000</v>
      </c>
      <c r="P119" s="12">
        <v>245300</v>
      </c>
      <c r="Q119" s="12">
        <v>660000</v>
      </c>
      <c r="R119" s="12"/>
      <c r="S119" s="12"/>
      <c r="T119" s="3"/>
      <c r="U119" s="3"/>
      <c r="V119" s="3"/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4">
        <v>0</v>
      </c>
    </row>
    <row r="120" spans="1:28" ht="51" x14ac:dyDescent="0.2">
      <c r="A120" s="6">
        <v>259</v>
      </c>
      <c r="B120" s="11"/>
      <c r="C120" s="11"/>
      <c r="D120" s="11" t="s">
        <v>394</v>
      </c>
      <c r="E120" s="11" t="s">
        <v>395</v>
      </c>
      <c r="F120" s="11" t="s">
        <v>8</v>
      </c>
      <c r="G120" s="11"/>
      <c r="H120" s="11"/>
      <c r="I120" s="11"/>
      <c r="J120" s="11">
        <v>75</v>
      </c>
      <c r="K120" s="13">
        <v>460000</v>
      </c>
      <c r="L120" s="13">
        <v>345000</v>
      </c>
      <c r="M120" s="13">
        <v>115000</v>
      </c>
      <c r="N120" s="13">
        <v>0</v>
      </c>
      <c r="O120" s="13">
        <v>0</v>
      </c>
      <c r="P120" s="13">
        <v>180000</v>
      </c>
      <c r="Q120" s="13">
        <v>0</v>
      </c>
      <c r="R120" s="13">
        <v>280000</v>
      </c>
      <c r="S120" s="13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2">
        <v>0</v>
      </c>
    </row>
    <row r="121" spans="1:28" ht="38.25" x14ac:dyDescent="0.2">
      <c r="A121" s="6">
        <v>260</v>
      </c>
      <c r="B121" s="8">
        <v>85</v>
      </c>
      <c r="C121" s="8">
        <v>0</v>
      </c>
      <c r="D121" s="8" t="s">
        <v>396</v>
      </c>
      <c r="E121" s="8" t="s">
        <v>397</v>
      </c>
      <c r="F121" s="8" t="s">
        <v>11</v>
      </c>
      <c r="G121" s="8"/>
      <c r="H121" s="8" t="s">
        <v>284</v>
      </c>
      <c r="I121" s="8" t="s">
        <v>18</v>
      </c>
      <c r="J121" s="8">
        <v>75</v>
      </c>
      <c r="K121" s="12">
        <v>100000</v>
      </c>
      <c r="L121" s="12">
        <v>75000</v>
      </c>
      <c r="M121" s="12">
        <v>25000</v>
      </c>
      <c r="N121" s="12"/>
      <c r="O121" s="12"/>
      <c r="P121" s="12">
        <v>100000</v>
      </c>
      <c r="Q121" s="12"/>
      <c r="R121" s="12"/>
      <c r="S121" s="12"/>
      <c r="T121" s="3"/>
      <c r="U121" s="3"/>
      <c r="V121" s="3"/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</row>
    <row r="122" spans="1:28" ht="51" x14ac:dyDescent="0.2">
      <c r="A122" s="6">
        <v>261</v>
      </c>
      <c r="B122" s="11">
        <v>86</v>
      </c>
      <c r="C122" s="11">
        <v>0</v>
      </c>
      <c r="D122" s="11" t="s">
        <v>398</v>
      </c>
      <c r="E122" s="11" t="s">
        <v>399</v>
      </c>
      <c r="F122" s="11" t="s">
        <v>11</v>
      </c>
      <c r="G122" s="11"/>
      <c r="H122" s="11" t="s">
        <v>284</v>
      </c>
      <c r="I122" s="11" t="s">
        <v>18</v>
      </c>
      <c r="J122" s="11">
        <v>75</v>
      </c>
      <c r="K122" s="13">
        <v>360000</v>
      </c>
      <c r="L122" s="13">
        <v>270000</v>
      </c>
      <c r="M122" s="13">
        <v>90000</v>
      </c>
      <c r="N122" s="13"/>
      <c r="O122" s="13"/>
      <c r="P122" s="13">
        <v>80000</v>
      </c>
      <c r="Q122" s="13"/>
      <c r="R122" s="13">
        <v>280000</v>
      </c>
      <c r="S122" s="13"/>
      <c r="T122" s="1"/>
      <c r="U122" s="1"/>
      <c r="V122" s="1"/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</row>
    <row r="123" spans="1:28" ht="38.25" x14ac:dyDescent="0.2">
      <c r="A123" s="6">
        <v>262</v>
      </c>
      <c r="B123" s="8"/>
      <c r="C123" s="8"/>
      <c r="D123" s="8" t="s">
        <v>400</v>
      </c>
      <c r="E123" s="8" t="s">
        <v>401</v>
      </c>
      <c r="F123" s="8" t="s">
        <v>8</v>
      </c>
      <c r="G123" s="8"/>
      <c r="H123" s="8"/>
      <c r="I123" s="8"/>
      <c r="J123" s="8"/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/>
      <c r="Z123" s="3">
        <v>0</v>
      </c>
      <c r="AA123" s="3">
        <v>0</v>
      </c>
      <c r="AB123" s="4">
        <v>0</v>
      </c>
    </row>
    <row r="124" spans="1:28" ht="25.5" x14ac:dyDescent="0.2">
      <c r="A124" s="6">
        <v>263</v>
      </c>
      <c r="B124" s="11"/>
      <c r="C124" s="11"/>
      <c r="D124" s="11" t="s">
        <v>402</v>
      </c>
      <c r="E124" s="11" t="s">
        <v>403</v>
      </c>
      <c r="F124" s="11" t="s">
        <v>8</v>
      </c>
      <c r="G124" s="11"/>
      <c r="H124" s="11"/>
      <c r="I124" s="11"/>
      <c r="J124" s="11">
        <v>75</v>
      </c>
      <c r="K124" s="13">
        <v>167986.67</v>
      </c>
      <c r="L124" s="13">
        <v>125990</v>
      </c>
      <c r="M124" s="13">
        <v>41996.67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">
        <v>0</v>
      </c>
      <c r="U124" s="1">
        <v>167986.67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2">
        <v>0</v>
      </c>
    </row>
    <row r="125" spans="1:28" ht="25.5" x14ac:dyDescent="0.2">
      <c r="A125" s="6">
        <v>264</v>
      </c>
      <c r="B125" s="8">
        <v>87</v>
      </c>
      <c r="C125" s="8">
        <v>0</v>
      </c>
      <c r="D125" s="8" t="s">
        <v>404</v>
      </c>
      <c r="E125" s="8" t="s">
        <v>405</v>
      </c>
      <c r="F125" s="8" t="s">
        <v>11</v>
      </c>
      <c r="G125" s="8"/>
      <c r="H125" s="8" t="s">
        <v>65</v>
      </c>
      <c r="I125" s="8" t="s">
        <v>18</v>
      </c>
      <c r="J125" s="8">
        <v>75</v>
      </c>
      <c r="K125" s="12">
        <v>167986.67</v>
      </c>
      <c r="L125" s="12">
        <v>125990</v>
      </c>
      <c r="M125" s="12">
        <v>41996.67</v>
      </c>
      <c r="N125" s="12"/>
      <c r="O125" s="12"/>
      <c r="P125" s="12"/>
      <c r="Q125" s="12"/>
      <c r="R125" s="12"/>
      <c r="S125" s="12"/>
      <c r="T125" s="3"/>
      <c r="U125" s="3">
        <v>167986.67</v>
      </c>
      <c r="V125" s="3"/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4">
        <v>0</v>
      </c>
    </row>
    <row r="126" spans="1:28" x14ac:dyDescent="0.2">
      <c r="A126" s="6">
        <v>265</v>
      </c>
      <c r="B126" s="11"/>
      <c r="C126" s="11"/>
      <c r="D126" s="11" t="s">
        <v>406</v>
      </c>
      <c r="E126" s="11" t="s">
        <v>407</v>
      </c>
      <c r="F126" s="11" t="s">
        <v>2</v>
      </c>
      <c r="G126" s="11"/>
      <c r="H126" s="11"/>
      <c r="I126" s="11"/>
      <c r="J126" s="11">
        <v>100</v>
      </c>
      <c r="K126" s="13">
        <v>10997500</v>
      </c>
      <c r="L126" s="13">
        <v>10997500</v>
      </c>
      <c r="M126" s="13">
        <v>0</v>
      </c>
      <c r="N126" s="13">
        <v>1561354.25</v>
      </c>
      <c r="O126" s="13">
        <v>2691245.25</v>
      </c>
      <c r="P126" s="13">
        <v>3008787.25</v>
      </c>
      <c r="Q126" s="13">
        <v>1517030.25</v>
      </c>
      <c r="R126" s="13">
        <v>1229401.75</v>
      </c>
      <c r="S126" s="13">
        <v>989681.25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2">
        <v>0</v>
      </c>
    </row>
    <row r="127" spans="1:28" x14ac:dyDescent="0.2">
      <c r="A127" s="6">
        <v>266</v>
      </c>
      <c r="B127" s="8"/>
      <c r="C127" s="8"/>
      <c r="D127" s="8" t="s">
        <v>408</v>
      </c>
      <c r="E127" s="8" t="s">
        <v>409</v>
      </c>
      <c r="F127" s="8" t="s">
        <v>5</v>
      </c>
      <c r="G127" s="8"/>
      <c r="H127" s="8"/>
      <c r="I127" s="8"/>
      <c r="J127" s="8">
        <v>100</v>
      </c>
      <c r="K127" s="12">
        <v>2290500</v>
      </c>
      <c r="L127" s="12">
        <v>2290500</v>
      </c>
      <c r="M127" s="12">
        <v>0</v>
      </c>
      <c r="N127" s="12">
        <v>408854.25</v>
      </c>
      <c r="O127" s="12">
        <v>459245.25</v>
      </c>
      <c r="P127" s="12">
        <v>376787.25</v>
      </c>
      <c r="Q127" s="12">
        <v>390530.25</v>
      </c>
      <c r="R127" s="12">
        <v>397401.75</v>
      </c>
      <c r="S127" s="12">
        <v>257681.25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4">
        <v>0</v>
      </c>
    </row>
    <row r="128" spans="1:28" ht="38.25" x14ac:dyDescent="0.2">
      <c r="A128" s="6">
        <v>267</v>
      </c>
      <c r="B128" s="11"/>
      <c r="C128" s="11"/>
      <c r="D128" s="11" t="s">
        <v>410</v>
      </c>
      <c r="E128" s="11" t="s">
        <v>411</v>
      </c>
      <c r="F128" s="11" t="s">
        <v>8</v>
      </c>
      <c r="G128" s="11"/>
      <c r="H128" s="11"/>
      <c r="I128" s="11"/>
      <c r="J128" s="11">
        <v>100</v>
      </c>
      <c r="K128" s="13">
        <v>2290500</v>
      </c>
      <c r="L128" s="13">
        <v>2290500</v>
      </c>
      <c r="M128" s="13">
        <v>0</v>
      </c>
      <c r="N128" s="13">
        <v>408854.25</v>
      </c>
      <c r="O128" s="13">
        <v>459245.25</v>
      </c>
      <c r="P128" s="13">
        <v>376787.25</v>
      </c>
      <c r="Q128" s="13">
        <v>390530.25</v>
      </c>
      <c r="R128" s="13">
        <v>397401.75</v>
      </c>
      <c r="S128" s="13">
        <v>257681.25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2">
        <v>0</v>
      </c>
    </row>
    <row r="129" spans="1:28" ht="25.5" x14ac:dyDescent="0.2">
      <c r="A129" s="6">
        <v>268</v>
      </c>
      <c r="B129" s="8">
        <v>88</v>
      </c>
      <c r="C129" s="8">
        <v>67</v>
      </c>
      <c r="D129" s="8" t="s">
        <v>412</v>
      </c>
      <c r="E129" s="8" t="s">
        <v>413</v>
      </c>
      <c r="F129" s="8" t="s">
        <v>11</v>
      </c>
      <c r="G129" s="8" t="s">
        <v>264</v>
      </c>
      <c r="H129" s="8" t="s">
        <v>191</v>
      </c>
      <c r="I129" s="8" t="s">
        <v>18</v>
      </c>
      <c r="J129" s="8">
        <v>100</v>
      </c>
      <c r="K129" s="12">
        <v>2290500</v>
      </c>
      <c r="L129" s="12">
        <v>2290500</v>
      </c>
      <c r="M129" s="12">
        <v>0</v>
      </c>
      <c r="N129" s="12">
        <v>408854.25</v>
      </c>
      <c r="O129" s="12">
        <v>459245.25</v>
      </c>
      <c r="P129" s="12">
        <v>376787.25</v>
      </c>
      <c r="Q129" s="12">
        <v>390530.25</v>
      </c>
      <c r="R129" s="12">
        <v>397401.75</v>
      </c>
      <c r="S129" s="12">
        <v>257681.25</v>
      </c>
      <c r="T129" s="3"/>
      <c r="U129" s="3"/>
      <c r="V129" s="3"/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4">
        <v>0</v>
      </c>
    </row>
    <row r="130" spans="1:28" ht="25.5" x14ac:dyDescent="0.2">
      <c r="A130" s="6">
        <v>269</v>
      </c>
      <c r="B130" s="11"/>
      <c r="C130" s="11">
        <v>67</v>
      </c>
      <c r="D130" s="11" t="s">
        <v>414</v>
      </c>
      <c r="E130" s="11" t="s">
        <v>415</v>
      </c>
      <c r="F130" s="11" t="s">
        <v>15</v>
      </c>
      <c r="G130" s="11"/>
      <c r="H130" s="11"/>
      <c r="I130" s="11"/>
      <c r="J130" s="11">
        <v>100</v>
      </c>
      <c r="K130" s="13">
        <v>1226562.75</v>
      </c>
      <c r="L130" s="13">
        <v>1226562.75</v>
      </c>
      <c r="M130" s="13">
        <v>0</v>
      </c>
      <c r="N130" s="13"/>
      <c r="O130" s="13">
        <v>459245.25</v>
      </c>
      <c r="P130" s="13">
        <v>376787.25</v>
      </c>
      <c r="Q130" s="13">
        <v>390530.25</v>
      </c>
      <c r="R130" s="13"/>
      <c r="S130" s="13"/>
      <c r="T130" s="1"/>
      <c r="U130" s="1"/>
      <c r="V130" s="1"/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2">
        <v>0</v>
      </c>
    </row>
    <row r="131" spans="1:28" x14ac:dyDescent="0.2">
      <c r="A131" s="6">
        <v>270</v>
      </c>
      <c r="B131" s="8"/>
      <c r="C131" s="8"/>
      <c r="D131" s="8" t="s">
        <v>416</v>
      </c>
      <c r="E131" s="8" t="s">
        <v>417</v>
      </c>
      <c r="F131" s="8" t="s">
        <v>5</v>
      </c>
      <c r="G131" s="8"/>
      <c r="H131" s="8"/>
      <c r="I131" s="8"/>
      <c r="J131" s="8">
        <v>100</v>
      </c>
      <c r="K131" s="12">
        <v>8707000</v>
      </c>
      <c r="L131" s="12">
        <v>8707000</v>
      </c>
      <c r="M131" s="12">
        <v>0</v>
      </c>
      <c r="N131" s="12">
        <v>1152500</v>
      </c>
      <c r="O131" s="12">
        <v>2232000</v>
      </c>
      <c r="P131" s="12">
        <v>2632000</v>
      </c>
      <c r="Q131" s="12">
        <v>1126500</v>
      </c>
      <c r="R131" s="12">
        <v>832000</v>
      </c>
      <c r="S131" s="12">
        <v>732000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4">
        <v>0</v>
      </c>
    </row>
    <row r="132" spans="1:28" ht="38.25" x14ac:dyDescent="0.2">
      <c r="A132" s="6">
        <v>271</v>
      </c>
      <c r="B132" s="11"/>
      <c r="C132" s="11"/>
      <c r="D132" s="11" t="s">
        <v>418</v>
      </c>
      <c r="E132" s="11" t="s">
        <v>411</v>
      </c>
      <c r="F132" s="11" t="s">
        <v>8</v>
      </c>
      <c r="G132" s="11"/>
      <c r="H132" s="11"/>
      <c r="I132" s="11"/>
      <c r="J132" s="11">
        <v>100</v>
      </c>
      <c r="K132" s="13">
        <v>849500</v>
      </c>
      <c r="L132" s="13">
        <v>849500</v>
      </c>
      <c r="M132" s="13">
        <v>0</v>
      </c>
      <c r="N132" s="13">
        <v>55000</v>
      </c>
      <c r="O132" s="13">
        <v>212000</v>
      </c>
      <c r="P132" s="13">
        <v>212000</v>
      </c>
      <c r="Q132" s="13">
        <v>146500</v>
      </c>
      <c r="R132" s="13">
        <v>112000</v>
      </c>
      <c r="S132" s="13">
        <v>112000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2">
        <v>0</v>
      </c>
    </row>
    <row r="133" spans="1:28" ht="38.25" x14ac:dyDescent="0.2">
      <c r="A133" s="6">
        <v>272</v>
      </c>
      <c r="B133" s="8"/>
      <c r="C133" s="8"/>
      <c r="D133" s="8" t="s">
        <v>419</v>
      </c>
      <c r="E133" s="8" t="s">
        <v>420</v>
      </c>
      <c r="F133" s="8" t="s">
        <v>8</v>
      </c>
      <c r="G133" s="8"/>
      <c r="H133" s="8"/>
      <c r="I133" s="8"/>
      <c r="J133" s="8">
        <v>100</v>
      </c>
      <c r="K133" s="12">
        <v>561500</v>
      </c>
      <c r="L133" s="12">
        <v>561500</v>
      </c>
      <c r="M133" s="12">
        <v>0</v>
      </c>
      <c r="N133" s="12">
        <v>47000</v>
      </c>
      <c r="O133" s="12">
        <v>91500</v>
      </c>
      <c r="P133" s="12">
        <v>91500</v>
      </c>
      <c r="Q133" s="12">
        <v>91500</v>
      </c>
      <c r="R133" s="12">
        <v>120000</v>
      </c>
      <c r="S133" s="12">
        <v>120000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4">
        <v>0</v>
      </c>
    </row>
    <row r="134" spans="1:28" ht="38.25" x14ac:dyDescent="0.2">
      <c r="A134" s="6">
        <v>273</v>
      </c>
      <c r="B134" s="11">
        <v>89</v>
      </c>
      <c r="C134" s="11">
        <v>68</v>
      </c>
      <c r="D134" s="11" t="s">
        <v>421</v>
      </c>
      <c r="E134" s="11" t="s">
        <v>422</v>
      </c>
      <c r="F134" s="11" t="s">
        <v>11</v>
      </c>
      <c r="G134" s="11" t="s">
        <v>264</v>
      </c>
      <c r="H134" s="11" t="s">
        <v>284</v>
      </c>
      <c r="I134" s="11" t="s">
        <v>18</v>
      </c>
      <c r="J134" s="11">
        <v>100</v>
      </c>
      <c r="K134" s="13">
        <v>561500</v>
      </c>
      <c r="L134" s="13">
        <v>561500</v>
      </c>
      <c r="M134" s="13">
        <v>0</v>
      </c>
      <c r="N134" s="13">
        <v>47000</v>
      </c>
      <c r="O134" s="13">
        <v>91500</v>
      </c>
      <c r="P134" s="13">
        <v>91500</v>
      </c>
      <c r="Q134" s="13">
        <v>91500</v>
      </c>
      <c r="R134" s="13">
        <v>120000</v>
      </c>
      <c r="S134" s="13">
        <v>120000</v>
      </c>
      <c r="T134" s="1"/>
      <c r="U134" s="1"/>
      <c r="V134" s="1"/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2">
        <v>0</v>
      </c>
    </row>
    <row r="135" spans="1:28" ht="38.25" x14ac:dyDescent="0.2">
      <c r="A135" s="6">
        <v>274</v>
      </c>
      <c r="B135" s="8"/>
      <c r="C135" s="8">
        <v>68</v>
      </c>
      <c r="D135" s="8" t="s">
        <v>423</v>
      </c>
      <c r="E135" s="8" t="s">
        <v>422</v>
      </c>
      <c r="F135" s="8" t="s">
        <v>15</v>
      </c>
      <c r="G135" s="8"/>
      <c r="H135" s="8"/>
      <c r="I135" s="8"/>
      <c r="J135" s="8">
        <v>100</v>
      </c>
      <c r="K135" s="12">
        <v>274328.44</v>
      </c>
      <c r="L135" s="12">
        <v>274328.44</v>
      </c>
      <c r="M135" s="12">
        <v>0</v>
      </c>
      <c r="N135" s="12">
        <v>45578.44</v>
      </c>
      <c r="O135" s="12">
        <v>91500</v>
      </c>
      <c r="P135" s="12">
        <v>91500</v>
      </c>
      <c r="Q135" s="12">
        <v>45750</v>
      </c>
      <c r="R135" s="12"/>
      <c r="S135" s="12"/>
      <c r="T135" s="3"/>
      <c r="U135" s="3"/>
      <c r="V135" s="3"/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4">
        <v>0</v>
      </c>
    </row>
    <row r="136" spans="1:28" ht="25.5" x14ac:dyDescent="0.2">
      <c r="A136" s="6">
        <v>275</v>
      </c>
      <c r="B136" s="11">
        <v>90</v>
      </c>
      <c r="C136" s="11">
        <v>69</v>
      </c>
      <c r="D136" s="11" t="s">
        <v>424</v>
      </c>
      <c r="E136" s="11" t="s">
        <v>425</v>
      </c>
      <c r="F136" s="11" t="s">
        <v>11</v>
      </c>
      <c r="G136" s="11" t="s">
        <v>12</v>
      </c>
      <c r="H136" s="11" t="s">
        <v>426</v>
      </c>
      <c r="I136" s="11" t="s">
        <v>18</v>
      </c>
      <c r="J136" s="11">
        <v>100</v>
      </c>
      <c r="K136" s="13">
        <v>234500</v>
      </c>
      <c r="L136" s="13">
        <v>234500</v>
      </c>
      <c r="M136" s="13">
        <v>0</v>
      </c>
      <c r="N136" s="13"/>
      <c r="O136" s="13">
        <v>100000</v>
      </c>
      <c r="P136" s="13">
        <v>100000</v>
      </c>
      <c r="Q136" s="13">
        <v>34500</v>
      </c>
      <c r="R136" s="13"/>
      <c r="S136" s="13"/>
      <c r="T136" s="1"/>
      <c r="U136" s="1"/>
      <c r="V136" s="1"/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</row>
    <row r="137" spans="1:28" ht="38.25" x14ac:dyDescent="0.2">
      <c r="A137" s="6">
        <v>276</v>
      </c>
      <c r="B137" s="8">
        <v>91</v>
      </c>
      <c r="C137" s="8">
        <v>69</v>
      </c>
      <c r="D137" s="8" t="s">
        <v>427</v>
      </c>
      <c r="E137" s="8" t="s">
        <v>428</v>
      </c>
      <c r="F137" s="8" t="s">
        <v>11</v>
      </c>
      <c r="G137" s="8" t="s">
        <v>12</v>
      </c>
      <c r="H137" s="8" t="s">
        <v>284</v>
      </c>
      <c r="I137" s="8" t="s">
        <v>18</v>
      </c>
      <c r="J137" s="8">
        <v>100</v>
      </c>
      <c r="K137" s="12">
        <v>615000</v>
      </c>
      <c r="L137" s="12">
        <v>615000</v>
      </c>
      <c r="M137" s="12">
        <v>0</v>
      </c>
      <c r="N137" s="12">
        <v>55000</v>
      </c>
      <c r="O137" s="12">
        <v>112000</v>
      </c>
      <c r="P137" s="12">
        <v>112000</v>
      </c>
      <c r="Q137" s="12">
        <v>112000</v>
      </c>
      <c r="R137" s="12">
        <v>112000</v>
      </c>
      <c r="S137" s="12">
        <v>112000</v>
      </c>
      <c r="T137" s="3"/>
      <c r="U137" s="3"/>
      <c r="V137" s="3"/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4">
        <v>0</v>
      </c>
    </row>
    <row r="138" spans="1:28" ht="25.5" x14ac:dyDescent="0.2">
      <c r="A138" s="6">
        <v>277</v>
      </c>
      <c r="B138" s="11"/>
      <c r="C138" s="11">
        <v>69</v>
      </c>
      <c r="D138" s="11" t="s">
        <v>429</v>
      </c>
      <c r="E138" s="11" t="s">
        <v>430</v>
      </c>
      <c r="F138" s="11" t="s">
        <v>15</v>
      </c>
      <c r="G138" s="11"/>
      <c r="H138" s="11"/>
      <c r="I138" s="11"/>
      <c r="J138" s="11">
        <v>100</v>
      </c>
      <c r="K138" s="13">
        <v>335000</v>
      </c>
      <c r="L138" s="13">
        <v>335000</v>
      </c>
      <c r="M138" s="13">
        <v>0</v>
      </c>
      <c r="N138" s="13">
        <v>55000</v>
      </c>
      <c r="O138" s="13">
        <v>112000</v>
      </c>
      <c r="P138" s="13">
        <v>112000</v>
      </c>
      <c r="Q138" s="13">
        <v>56000</v>
      </c>
      <c r="R138" s="13"/>
      <c r="S138" s="13"/>
      <c r="T138" s="1"/>
      <c r="U138" s="1"/>
      <c r="V138" s="1"/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2">
        <v>0</v>
      </c>
    </row>
    <row r="139" spans="1:28" ht="25.5" x14ac:dyDescent="0.2">
      <c r="A139" s="6">
        <v>278</v>
      </c>
      <c r="B139" s="8"/>
      <c r="C139" s="8"/>
      <c r="D139" s="8" t="s">
        <v>431</v>
      </c>
      <c r="E139" s="8" t="s">
        <v>432</v>
      </c>
      <c r="F139" s="8" t="s">
        <v>8</v>
      </c>
      <c r="G139" s="8"/>
      <c r="H139" s="8"/>
      <c r="I139" s="8"/>
      <c r="J139" s="8"/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/>
      <c r="Z139" s="3">
        <v>0</v>
      </c>
      <c r="AA139" s="3">
        <v>0</v>
      </c>
      <c r="AB139" s="4">
        <v>0</v>
      </c>
    </row>
    <row r="140" spans="1:28" ht="51" x14ac:dyDescent="0.2">
      <c r="A140" s="6">
        <v>279</v>
      </c>
      <c r="B140" s="11"/>
      <c r="C140" s="11"/>
      <c r="D140" s="11" t="s">
        <v>433</v>
      </c>
      <c r="E140" s="11" t="s">
        <v>434</v>
      </c>
      <c r="F140" s="11" t="s">
        <v>8</v>
      </c>
      <c r="G140" s="11"/>
      <c r="H140" s="11"/>
      <c r="I140" s="11"/>
      <c r="J140" s="11"/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/>
      <c r="Z140" s="1">
        <v>0</v>
      </c>
      <c r="AA140" s="1">
        <v>0</v>
      </c>
      <c r="AB140" s="2">
        <v>0</v>
      </c>
    </row>
    <row r="141" spans="1:28" ht="38.25" x14ac:dyDescent="0.2">
      <c r="A141" s="6">
        <v>280</v>
      </c>
      <c r="B141" s="8"/>
      <c r="C141" s="8"/>
      <c r="D141" s="8" t="s">
        <v>435</v>
      </c>
      <c r="E141" s="8" t="s">
        <v>436</v>
      </c>
      <c r="F141" s="8" t="s">
        <v>8</v>
      </c>
      <c r="G141" s="8"/>
      <c r="H141" s="8"/>
      <c r="I141" s="8"/>
      <c r="J141" s="8">
        <v>100</v>
      </c>
      <c r="K141" s="12">
        <v>25000</v>
      </c>
      <c r="L141" s="12">
        <v>25000</v>
      </c>
      <c r="M141" s="12">
        <v>0</v>
      </c>
      <c r="N141" s="12">
        <v>0</v>
      </c>
      <c r="O141" s="12">
        <v>5000</v>
      </c>
      <c r="P141" s="12">
        <v>5000</v>
      </c>
      <c r="Q141" s="12">
        <v>5000</v>
      </c>
      <c r="R141" s="12">
        <v>5000</v>
      </c>
      <c r="S141" s="12">
        <v>5000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4">
        <v>0</v>
      </c>
    </row>
    <row r="142" spans="1:28" ht="38.25" x14ac:dyDescent="0.2">
      <c r="A142" s="6">
        <v>281</v>
      </c>
      <c r="B142" s="11">
        <v>92</v>
      </c>
      <c r="C142" s="11">
        <v>0</v>
      </c>
      <c r="D142" s="11" t="s">
        <v>437</v>
      </c>
      <c r="E142" s="11" t="s">
        <v>436</v>
      </c>
      <c r="F142" s="11" t="s">
        <v>11</v>
      </c>
      <c r="G142" s="11"/>
      <c r="H142" s="11" t="s">
        <v>284</v>
      </c>
      <c r="I142" s="11" t="s">
        <v>18</v>
      </c>
      <c r="J142" s="11">
        <v>100</v>
      </c>
      <c r="K142" s="13">
        <v>25000</v>
      </c>
      <c r="L142" s="13">
        <v>25000</v>
      </c>
      <c r="M142" s="13">
        <v>0</v>
      </c>
      <c r="N142" s="13"/>
      <c r="O142" s="13">
        <v>5000</v>
      </c>
      <c r="P142" s="13">
        <v>5000</v>
      </c>
      <c r="Q142" s="13">
        <v>5000</v>
      </c>
      <c r="R142" s="13">
        <v>5000</v>
      </c>
      <c r="S142" s="13">
        <v>5000</v>
      </c>
      <c r="T142" s="1"/>
      <c r="U142" s="1"/>
      <c r="V142" s="1"/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</row>
    <row r="143" spans="1:28" ht="25.5" x14ac:dyDescent="0.2">
      <c r="A143" s="6">
        <v>282</v>
      </c>
      <c r="B143" s="8"/>
      <c r="C143" s="8"/>
      <c r="D143" s="8" t="s">
        <v>438</v>
      </c>
      <c r="E143" s="8" t="s">
        <v>439</v>
      </c>
      <c r="F143" s="8" t="s">
        <v>8</v>
      </c>
      <c r="G143" s="8"/>
      <c r="H143" s="8"/>
      <c r="I143" s="8"/>
      <c r="J143" s="8">
        <v>100</v>
      </c>
      <c r="K143" s="12">
        <v>165000</v>
      </c>
      <c r="L143" s="12">
        <v>165000</v>
      </c>
      <c r="M143" s="12">
        <v>0</v>
      </c>
      <c r="N143" s="12">
        <v>15000</v>
      </c>
      <c r="O143" s="12">
        <v>30000</v>
      </c>
      <c r="P143" s="12">
        <v>30000</v>
      </c>
      <c r="Q143" s="12">
        <v>30000</v>
      </c>
      <c r="R143" s="12">
        <v>30000</v>
      </c>
      <c r="S143" s="12">
        <v>30000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</row>
    <row r="144" spans="1:28" ht="38.25" x14ac:dyDescent="0.2">
      <c r="A144" s="6">
        <v>283</v>
      </c>
      <c r="B144" s="11">
        <v>93</v>
      </c>
      <c r="C144" s="11">
        <v>70</v>
      </c>
      <c r="D144" s="11" t="s">
        <v>440</v>
      </c>
      <c r="E144" s="11" t="s">
        <v>441</v>
      </c>
      <c r="F144" s="11" t="s">
        <v>11</v>
      </c>
      <c r="G144" s="11" t="s">
        <v>12</v>
      </c>
      <c r="H144" s="11" t="s">
        <v>284</v>
      </c>
      <c r="I144" s="11" t="s">
        <v>18</v>
      </c>
      <c r="J144" s="11">
        <v>100</v>
      </c>
      <c r="K144" s="13">
        <v>165000</v>
      </c>
      <c r="L144" s="13">
        <v>165000</v>
      </c>
      <c r="M144" s="13">
        <v>0</v>
      </c>
      <c r="N144" s="13">
        <v>15000</v>
      </c>
      <c r="O144" s="13">
        <v>30000</v>
      </c>
      <c r="P144" s="13">
        <v>30000</v>
      </c>
      <c r="Q144" s="13">
        <v>30000</v>
      </c>
      <c r="R144" s="13">
        <v>30000</v>
      </c>
      <c r="S144" s="13">
        <v>30000</v>
      </c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</row>
    <row r="145" spans="1:28" ht="89.25" x14ac:dyDescent="0.2">
      <c r="A145" s="6">
        <v>284</v>
      </c>
      <c r="B145" s="8"/>
      <c r="C145" s="8">
        <v>70</v>
      </c>
      <c r="D145" s="8" t="s">
        <v>442</v>
      </c>
      <c r="E145" s="8" t="s">
        <v>443</v>
      </c>
      <c r="F145" s="8" t="s">
        <v>15</v>
      </c>
      <c r="G145" s="8"/>
      <c r="H145" s="8"/>
      <c r="I145" s="8"/>
      <c r="J145" s="8">
        <v>100</v>
      </c>
      <c r="K145" s="12">
        <v>90000</v>
      </c>
      <c r="L145" s="12">
        <v>90000</v>
      </c>
      <c r="M145" s="12">
        <v>0</v>
      </c>
      <c r="N145" s="12"/>
      <c r="O145" s="12">
        <v>30000</v>
      </c>
      <c r="P145" s="12">
        <v>30000</v>
      </c>
      <c r="Q145" s="12">
        <v>30000</v>
      </c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</row>
    <row r="146" spans="1:28" ht="38.25" x14ac:dyDescent="0.2">
      <c r="A146" s="6">
        <v>285</v>
      </c>
      <c r="B146" s="11"/>
      <c r="C146" s="11"/>
      <c r="D146" s="11" t="s">
        <v>444</v>
      </c>
      <c r="E146" s="11" t="s">
        <v>445</v>
      </c>
      <c r="F146" s="11" t="s">
        <v>8</v>
      </c>
      <c r="G146" s="11"/>
      <c r="H146" s="11"/>
      <c r="I146" s="11"/>
      <c r="J146" s="11">
        <v>100</v>
      </c>
      <c r="K146" s="13">
        <v>1710000</v>
      </c>
      <c r="L146" s="13">
        <v>1710000</v>
      </c>
      <c r="M146" s="13">
        <v>0</v>
      </c>
      <c r="N146" s="13">
        <v>315000</v>
      </c>
      <c r="O146" s="13">
        <v>430000</v>
      </c>
      <c r="P146" s="13">
        <v>430000</v>
      </c>
      <c r="Q146" s="13">
        <v>255000</v>
      </c>
      <c r="R146" s="13">
        <v>140000</v>
      </c>
      <c r="S146" s="13">
        <v>140000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</row>
    <row r="147" spans="1:28" ht="38.25" x14ac:dyDescent="0.2">
      <c r="A147" s="6">
        <v>286</v>
      </c>
      <c r="B147" s="8">
        <v>94</v>
      </c>
      <c r="C147" s="8">
        <v>71</v>
      </c>
      <c r="D147" s="8" t="s">
        <v>446</v>
      </c>
      <c r="E147" s="8" t="s">
        <v>447</v>
      </c>
      <c r="F147" s="8" t="s">
        <v>11</v>
      </c>
      <c r="G147" s="8" t="s">
        <v>12</v>
      </c>
      <c r="H147" s="8" t="s">
        <v>284</v>
      </c>
      <c r="I147" s="8" t="s">
        <v>18</v>
      </c>
      <c r="J147" s="8">
        <v>100</v>
      </c>
      <c r="K147" s="12">
        <v>720000</v>
      </c>
      <c r="L147" s="12">
        <v>720000</v>
      </c>
      <c r="M147" s="12">
        <v>0</v>
      </c>
      <c r="N147" s="12">
        <v>200000</v>
      </c>
      <c r="O147" s="12">
        <v>200000</v>
      </c>
      <c r="P147" s="12">
        <v>200000</v>
      </c>
      <c r="Q147" s="12">
        <v>40000</v>
      </c>
      <c r="R147" s="12">
        <v>40000</v>
      </c>
      <c r="S147" s="12">
        <v>40000</v>
      </c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</row>
    <row r="148" spans="1:28" ht="38.25" x14ac:dyDescent="0.2">
      <c r="A148" s="6">
        <v>287</v>
      </c>
      <c r="B148" s="11"/>
      <c r="C148" s="11">
        <v>71</v>
      </c>
      <c r="D148" s="11" t="s">
        <v>448</v>
      </c>
      <c r="E148" s="11" t="s">
        <v>447</v>
      </c>
      <c r="F148" s="11" t="s">
        <v>15</v>
      </c>
      <c r="G148" s="11"/>
      <c r="H148" s="11"/>
      <c r="I148" s="11"/>
      <c r="J148" s="11">
        <v>100</v>
      </c>
      <c r="K148" s="13">
        <v>520000</v>
      </c>
      <c r="L148" s="13">
        <v>520000</v>
      </c>
      <c r="M148" s="13">
        <v>0</v>
      </c>
      <c r="N148" s="13">
        <v>100000</v>
      </c>
      <c r="O148" s="13">
        <v>200000</v>
      </c>
      <c r="P148" s="13">
        <v>200000</v>
      </c>
      <c r="Q148" s="13">
        <v>20000</v>
      </c>
      <c r="R148" s="13"/>
      <c r="S148" s="13"/>
      <c r="T148" s="1"/>
      <c r="U148" s="1"/>
      <c r="V148" s="1"/>
      <c r="W148" s="1">
        <v>189422.71</v>
      </c>
      <c r="X148" s="1">
        <v>189422.71</v>
      </c>
      <c r="Y148" s="1">
        <v>36.43</v>
      </c>
      <c r="Z148" s="1">
        <v>164375.43</v>
      </c>
      <c r="AA148" s="1">
        <v>25047.279999999999</v>
      </c>
      <c r="AB148" s="2">
        <v>0</v>
      </c>
    </row>
    <row r="149" spans="1:28" ht="38.25" x14ac:dyDescent="0.2">
      <c r="A149" s="6">
        <v>288</v>
      </c>
      <c r="B149" s="8">
        <v>95</v>
      </c>
      <c r="C149" s="8">
        <v>72</v>
      </c>
      <c r="D149" s="8" t="s">
        <v>449</v>
      </c>
      <c r="E149" s="8" t="s">
        <v>450</v>
      </c>
      <c r="F149" s="8" t="s">
        <v>11</v>
      </c>
      <c r="G149" s="8" t="s">
        <v>28</v>
      </c>
      <c r="H149" s="8" t="s">
        <v>284</v>
      </c>
      <c r="I149" s="8" t="s">
        <v>18</v>
      </c>
      <c r="J149" s="8">
        <v>100</v>
      </c>
      <c r="K149" s="12">
        <v>90000</v>
      </c>
      <c r="L149" s="12">
        <v>90000</v>
      </c>
      <c r="M149" s="12">
        <v>0</v>
      </c>
      <c r="N149" s="12">
        <v>15000</v>
      </c>
      <c r="O149" s="12">
        <v>30000</v>
      </c>
      <c r="P149" s="12">
        <v>30000</v>
      </c>
      <c r="Q149" s="12">
        <v>15000</v>
      </c>
      <c r="R149" s="12"/>
      <c r="S149" s="12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</row>
    <row r="150" spans="1:28" ht="38.25" x14ac:dyDescent="0.2">
      <c r="A150" s="6">
        <v>289</v>
      </c>
      <c r="B150" s="11"/>
      <c r="C150" s="11">
        <v>72</v>
      </c>
      <c r="D150" s="11" t="s">
        <v>451</v>
      </c>
      <c r="E150" s="11" t="s">
        <v>450</v>
      </c>
      <c r="F150" s="11" t="s">
        <v>15</v>
      </c>
      <c r="G150" s="11"/>
      <c r="H150" s="11"/>
      <c r="I150" s="11"/>
      <c r="J150" s="11">
        <v>100</v>
      </c>
      <c r="K150" s="13">
        <v>90000</v>
      </c>
      <c r="L150" s="13">
        <v>90000</v>
      </c>
      <c r="M150" s="13">
        <v>0</v>
      </c>
      <c r="N150" s="13">
        <v>15000</v>
      </c>
      <c r="O150" s="13">
        <v>30000</v>
      </c>
      <c r="P150" s="13">
        <v>30000</v>
      </c>
      <c r="Q150" s="13">
        <v>15000</v>
      </c>
      <c r="R150" s="13"/>
      <c r="S150" s="13"/>
      <c r="T150" s="1"/>
      <c r="U150" s="1"/>
      <c r="V150" s="1"/>
      <c r="W150" s="1">
        <v>8081.29</v>
      </c>
      <c r="X150" s="1">
        <v>8081.29</v>
      </c>
      <c r="Y150" s="1">
        <v>8.98</v>
      </c>
      <c r="Z150" s="1">
        <v>0</v>
      </c>
      <c r="AA150" s="1">
        <v>8081.29</v>
      </c>
      <c r="AB150" s="2">
        <v>0</v>
      </c>
    </row>
    <row r="151" spans="1:28" ht="38.25" x14ac:dyDescent="0.2">
      <c r="A151" s="6">
        <v>290</v>
      </c>
      <c r="B151" s="8">
        <v>96</v>
      </c>
      <c r="C151" s="8">
        <v>0</v>
      </c>
      <c r="D151" s="8" t="s">
        <v>452</v>
      </c>
      <c r="E151" s="8" t="s">
        <v>453</v>
      </c>
      <c r="F151" s="8" t="s">
        <v>11</v>
      </c>
      <c r="G151" s="8"/>
      <c r="H151" s="8" t="s">
        <v>185</v>
      </c>
      <c r="I151" s="8" t="s">
        <v>18</v>
      </c>
      <c r="J151" s="8">
        <v>100</v>
      </c>
      <c r="K151" s="12">
        <v>900000</v>
      </c>
      <c r="L151" s="12">
        <v>900000</v>
      </c>
      <c r="M151" s="12">
        <v>0</v>
      </c>
      <c r="N151" s="12">
        <v>100000</v>
      </c>
      <c r="O151" s="12">
        <v>200000</v>
      </c>
      <c r="P151" s="12">
        <v>200000</v>
      </c>
      <c r="Q151" s="12">
        <v>200000</v>
      </c>
      <c r="R151" s="12">
        <v>100000</v>
      </c>
      <c r="S151" s="12">
        <v>100000</v>
      </c>
      <c r="T151" s="3"/>
      <c r="U151" s="3"/>
      <c r="V151" s="3"/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</row>
    <row r="152" spans="1:28" ht="38.25" x14ac:dyDescent="0.2">
      <c r="A152" s="6">
        <v>291</v>
      </c>
      <c r="B152" s="11"/>
      <c r="C152" s="11"/>
      <c r="D152" s="11" t="s">
        <v>454</v>
      </c>
      <c r="E152" s="11" t="s">
        <v>455</v>
      </c>
      <c r="F152" s="11" t="s">
        <v>8</v>
      </c>
      <c r="G152" s="11"/>
      <c r="H152" s="11"/>
      <c r="I152" s="11"/>
      <c r="J152" s="11">
        <v>100</v>
      </c>
      <c r="K152" s="13">
        <v>200000</v>
      </c>
      <c r="L152" s="13">
        <v>200000</v>
      </c>
      <c r="M152" s="13">
        <v>0</v>
      </c>
      <c r="N152" s="13">
        <v>50000</v>
      </c>
      <c r="O152" s="13">
        <v>0</v>
      </c>
      <c r="P152" s="13">
        <v>50000</v>
      </c>
      <c r="Q152" s="13">
        <v>0</v>
      </c>
      <c r="R152" s="13">
        <v>100000</v>
      </c>
      <c r="S152" s="13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</row>
    <row r="153" spans="1:28" ht="38.25" x14ac:dyDescent="0.2">
      <c r="A153" s="6">
        <v>292</v>
      </c>
      <c r="B153" s="8">
        <v>97</v>
      </c>
      <c r="C153" s="8">
        <v>73</v>
      </c>
      <c r="D153" s="8" t="s">
        <v>457</v>
      </c>
      <c r="E153" s="8" t="s">
        <v>455</v>
      </c>
      <c r="F153" s="8" t="s">
        <v>11</v>
      </c>
      <c r="G153" s="8" t="s">
        <v>28</v>
      </c>
      <c r="H153" s="8" t="s">
        <v>185</v>
      </c>
      <c r="I153" s="8" t="s">
        <v>18</v>
      </c>
      <c r="J153" s="8">
        <v>100</v>
      </c>
      <c r="K153" s="12">
        <v>200000</v>
      </c>
      <c r="L153" s="12">
        <v>200000</v>
      </c>
      <c r="M153" s="12">
        <v>0</v>
      </c>
      <c r="N153" s="12">
        <v>50000</v>
      </c>
      <c r="O153" s="12"/>
      <c r="P153" s="12">
        <v>50000</v>
      </c>
      <c r="Q153" s="12"/>
      <c r="R153" s="12">
        <v>100000</v>
      </c>
      <c r="S153" s="12"/>
      <c r="T153" s="3"/>
      <c r="U153" s="3"/>
      <c r="V153" s="3"/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</row>
    <row r="154" spans="1:28" ht="51" x14ac:dyDescent="0.2">
      <c r="A154" s="6">
        <v>293</v>
      </c>
      <c r="B154" s="11"/>
      <c r="C154" s="11">
        <v>73</v>
      </c>
      <c r="D154" s="11" t="s">
        <v>458</v>
      </c>
      <c r="E154" s="11" t="s">
        <v>456</v>
      </c>
      <c r="F154" s="11" t="s">
        <v>15</v>
      </c>
      <c r="G154" s="11"/>
      <c r="H154" s="11"/>
      <c r="I154" s="11"/>
      <c r="J154" s="11">
        <v>100</v>
      </c>
      <c r="K154" s="13">
        <v>100000</v>
      </c>
      <c r="L154" s="13">
        <v>100000</v>
      </c>
      <c r="M154" s="13">
        <v>0</v>
      </c>
      <c r="N154" s="13">
        <v>50000</v>
      </c>
      <c r="O154" s="13"/>
      <c r="P154" s="13">
        <v>50000</v>
      </c>
      <c r="Q154" s="13"/>
      <c r="R154" s="13"/>
      <c r="S154" s="13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</row>
    <row r="155" spans="1:28" ht="25.5" x14ac:dyDescent="0.2">
      <c r="A155" s="6">
        <v>294</v>
      </c>
      <c r="B155" s="8"/>
      <c r="C155" s="8"/>
      <c r="D155" s="8" t="s">
        <v>459</v>
      </c>
      <c r="E155" s="8" t="s">
        <v>460</v>
      </c>
      <c r="F155" s="8" t="s">
        <v>8</v>
      </c>
      <c r="G155" s="8"/>
      <c r="H155" s="8"/>
      <c r="I155" s="8"/>
      <c r="J155" s="8">
        <v>100</v>
      </c>
      <c r="K155" s="12">
        <v>2700000</v>
      </c>
      <c r="L155" s="12">
        <v>2700000</v>
      </c>
      <c r="M155" s="12">
        <v>0</v>
      </c>
      <c r="N155" s="12">
        <v>500000</v>
      </c>
      <c r="O155" s="12">
        <v>1000000</v>
      </c>
      <c r="P155" s="12">
        <v>1200000</v>
      </c>
      <c r="Q155" s="12">
        <v>0</v>
      </c>
      <c r="R155" s="12">
        <v>0</v>
      </c>
      <c r="S155" s="12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</row>
    <row r="156" spans="1:28" ht="25.5" x14ac:dyDescent="0.2">
      <c r="A156" s="6">
        <v>295</v>
      </c>
      <c r="B156" s="11">
        <v>98</v>
      </c>
      <c r="C156" s="11">
        <v>74</v>
      </c>
      <c r="D156" s="11" t="s">
        <v>461</v>
      </c>
      <c r="E156" s="11" t="s">
        <v>460</v>
      </c>
      <c r="F156" s="11" t="s">
        <v>11</v>
      </c>
      <c r="G156" s="11" t="s">
        <v>36</v>
      </c>
      <c r="H156" s="11" t="s">
        <v>379</v>
      </c>
      <c r="I156" s="11" t="s">
        <v>18</v>
      </c>
      <c r="J156" s="11">
        <v>100</v>
      </c>
      <c r="K156" s="13">
        <v>2700000</v>
      </c>
      <c r="L156" s="13">
        <v>2700000</v>
      </c>
      <c r="M156" s="13">
        <v>0</v>
      </c>
      <c r="N156" s="13">
        <v>500000</v>
      </c>
      <c r="O156" s="13">
        <v>1000000</v>
      </c>
      <c r="P156" s="13">
        <v>1200000</v>
      </c>
      <c r="Q156" s="13"/>
      <c r="R156" s="13"/>
      <c r="S156" s="13"/>
      <c r="T156" s="1"/>
      <c r="U156" s="1"/>
      <c r="V156" s="1"/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</row>
    <row r="157" spans="1:28" ht="25.5" x14ac:dyDescent="0.2">
      <c r="A157" s="6">
        <v>296</v>
      </c>
      <c r="B157" s="8"/>
      <c r="C157" s="8">
        <v>74</v>
      </c>
      <c r="D157" s="8" t="s">
        <v>462</v>
      </c>
      <c r="E157" s="8" t="s">
        <v>460</v>
      </c>
      <c r="F157" s="8" t="s">
        <v>15</v>
      </c>
      <c r="G157" s="8"/>
      <c r="H157" s="8"/>
      <c r="I157" s="8"/>
      <c r="J157" s="8">
        <v>100</v>
      </c>
      <c r="K157" s="12">
        <v>2700000</v>
      </c>
      <c r="L157" s="12">
        <v>2700000</v>
      </c>
      <c r="M157" s="12">
        <v>0</v>
      </c>
      <c r="N157" s="12">
        <v>500000</v>
      </c>
      <c r="O157" s="12">
        <v>1000000</v>
      </c>
      <c r="P157" s="12">
        <v>1200000</v>
      </c>
      <c r="Q157" s="12"/>
      <c r="R157" s="12"/>
      <c r="S157" s="12"/>
      <c r="T157" s="3"/>
      <c r="U157" s="3"/>
      <c r="V157" s="3"/>
      <c r="W157" s="3">
        <v>322419.25</v>
      </c>
      <c r="X157" s="3">
        <v>322419.25</v>
      </c>
      <c r="Y157" s="3">
        <v>11.94</v>
      </c>
      <c r="Z157" s="3">
        <v>250627.97</v>
      </c>
      <c r="AA157" s="3">
        <v>71791.28</v>
      </c>
      <c r="AB157" s="4">
        <v>0</v>
      </c>
    </row>
    <row r="158" spans="1:28" ht="38.25" x14ac:dyDescent="0.2">
      <c r="A158" s="6">
        <v>297</v>
      </c>
      <c r="B158" s="11"/>
      <c r="C158" s="11"/>
      <c r="D158" s="11" t="s">
        <v>463</v>
      </c>
      <c r="E158" s="11" t="s">
        <v>464</v>
      </c>
      <c r="F158" s="11" t="s">
        <v>8</v>
      </c>
      <c r="G158" s="11"/>
      <c r="H158" s="11"/>
      <c r="I158" s="11"/>
      <c r="J158" s="11"/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/>
      <c r="Z158" s="1">
        <v>0</v>
      </c>
      <c r="AA158" s="1">
        <v>0</v>
      </c>
      <c r="AB158" s="2">
        <v>0</v>
      </c>
    </row>
    <row r="159" spans="1:28" ht="38.25" x14ac:dyDescent="0.2">
      <c r="A159" s="6">
        <v>298</v>
      </c>
      <c r="B159" s="8"/>
      <c r="C159" s="8"/>
      <c r="D159" s="8" t="s">
        <v>465</v>
      </c>
      <c r="E159" s="8" t="s">
        <v>466</v>
      </c>
      <c r="F159" s="8" t="s">
        <v>8</v>
      </c>
      <c r="G159" s="8"/>
      <c r="H159" s="8"/>
      <c r="I159" s="8"/>
      <c r="J159" s="8"/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/>
      <c r="Z159" s="3">
        <v>0</v>
      </c>
      <c r="AA159" s="3">
        <v>0</v>
      </c>
      <c r="AB159" s="4">
        <v>0</v>
      </c>
    </row>
    <row r="160" spans="1:28" ht="51" x14ac:dyDescent="0.2">
      <c r="A160" s="6">
        <v>299</v>
      </c>
      <c r="B160" s="11"/>
      <c r="C160" s="11"/>
      <c r="D160" s="11" t="s">
        <v>467</v>
      </c>
      <c r="E160" s="11" t="s">
        <v>468</v>
      </c>
      <c r="F160" s="11" t="s">
        <v>8</v>
      </c>
      <c r="G160" s="11"/>
      <c r="H160" s="11"/>
      <c r="I160" s="11"/>
      <c r="J160" s="11"/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/>
      <c r="Z160" s="1">
        <v>0</v>
      </c>
      <c r="AA160" s="1">
        <v>0</v>
      </c>
      <c r="AB160" s="2">
        <v>0</v>
      </c>
    </row>
    <row r="161" spans="1:28" ht="38.25" x14ac:dyDescent="0.2">
      <c r="A161" s="6">
        <v>300</v>
      </c>
      <c r="B161" s="8"/>
      <c r="C161" s="8"/>
      <c r="D161" s="8" t="s">
        <v>469</v>
      </c>
      <c r="E161" s="8" t="s">
        <v>470</v>
      </c>
      <c r="F161" s="8" t="s">
        <v>8</v>
      </c>
      <c r="G161" s="8"/>
      <c r="H161" s="8"/>
      <c r="I161" s="8"/>
      <c r="J161" s="8">
        <v>100</v>
      </c>
      <c r="K161" s="12">
        <v>1057500</v>
      </c>
      <c r="L161" s="12">
        <v>1057500</v>
      </c>
      <c r="M161" s="12">
        <v>0</v>
      </c>
      <c r="N161" s="12">
        <v>147500</v>
      </c>
      <c r="O161" s="12">
        <v>295000</v>
      </c>
      <c r="P161" s="12">
        <v>295000</v>
      </c>
      <c r="Q161" s="12">
        <v>270000</v>
      </c>
      <c r="R161" s="12">
        <v>25000</v>
      </c>
      <c r="S161" s="12">
        <v>25000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</row>
    <row r="162" spans="1:28" ht="51" x14ac:dyDescent="0.2">
      <c r="A162" s="6">
        <v>301</v>
      </c>
      <c r="B162" s="11">
        <v>99</v>
      </c>
      <c r="C162" s="11">
        <v>0</v>
      </c>
      <c r="D162" s="11" t="s">
        <v>471</v>
      </c>
      <c r="E162" s="11" t="s">
        <v>472</v>
      </c>
      <c r="F162" s="11" t="s">
        <v>11</v>
      </c>
      <c r="G162" s="11"/>
      <c r="H162" s="11" t="s">
        <v>284</v>
      </c>
      <c r="I162" s="11" t="s">
        <v>18</v>
      </c>
      <c r="J162" s="11">
        <v>100</v>
      </c>
      <c r="K162" s="13">
        <v>287500</v>
      </c>
      <c r="L162" s="13">
        <v>287500</v>
      </c>
      <c r="M162" s="13">
        <v>0</v>
      </c>
      <c r="N162" s="13">
        <v>37500</v>
      </c>
      <c r="O162" s="13">
        <v>75000</v>
      </c>
      <c r="P162" s="13">
        <v>75000</v>
      </c>
      <c r="Q162" s="13">
        <v>50000</v>
      </c>
      <c r="R162" s="13">
        <v>25000</v>
      </c>
      <c r="S162" s="13">
        <v>25000</v>
      </c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</row>
    <row r="163" spans="1:28" ht="38.25" x14ac:dyDescent="0.2">
      <c r="A163" s="6">
        <v>302</v>
      </c>
      <c r="B163" s="8">
        <v>100</v>
      </c>
      <c r="C163" s="8">
        <v>0</v>
      </c>
      <c r="D163" s="8" t="s">
        <v>473</v>
      </c>
      <c r="E163" s="8" t="s">
        <v>474</v>
      </c>
      <c r="F163" s="8" t="s">
        <v>11</v>
      </c>
      <c r="G163" s="8"/>
      <c r="H163" s="8" t="s">
        <v>284</v>
      </c>
      <c r="I163" s="8" t="s">
        <v>18</v>
      </c>
      <c r="J163" s="8">
        <v>100</v>
      </c>
      <c r="K163" s="12">
        <v>770000</v>
      </c>
      <c r="L163" s="12">
        <v>770000</v>
      </c>
      <c r="M163" s="12">
        <v>0</v>
      </c>
      <c r="N163" s="12">
        <v>110000</v>
      </c>
      <c r="O163" s="12">
        <v>220000</v>
      </c>
      <c r="P163" s="12">
        <v>220000</v>
      </c>
      <c r="Q163" s="12">
        <v>220000</v>
      </c>
      <c r="R163" s="12"/>
      <c r="S163" s="12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</row>
    <row r="164" spans="1:28" ht="25.5" x14ac:dyDescent="0.2">
      <c r="A164" s="6">
        <v>303</v>
      </c>
      <c r="B164" s="11"/>
      <c r="C164" s="11"/>
      <c r="D164" s="11" t="s">
        <v>475</v>
      </c>
      <c r="E164" s="11" t="s">
        <v>476</v>
      </c>
      <c r="F164" s="11" t="s">
        <v>8</v>
      </c>
      <c r="G164" s="11"/>
      <c r="H164" s="11"/>
      <c r="I164" s="11"/>
      <c r="J164" s="11">
        <v>100</v>
      </c>
      <c r="K164" s="13">
        <v>1438500</v>
      </c>
      <c r="L164" s="13">
        <v>1438500</v>
      </c>
      <c r="M164" s="13">
        <v>0</v>
      </c>
      <c r="N164" s="13">
        <v>23000</v>
      </c>
      <c r="O164" s="13">
        <v>168500</v>
      </c>
      <c r="P164" s="13">
        <v>318500</v>
      </c>
      <c r="Q164" s="13">
        <v>328500</v>
      </c>
      <c r="R164" s="13">
        <v>300000</v>
      </c>
      <c r="S164" s="13">
        <v>300000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</row>
    <row r="165" spans="1:28" ht="38.25" x14ac:dyDescent="0.2">
      <c r="A165" s="6">
        <v>304</v>
      </c>
      <c r="B165" s="8">
        <v>101</v>
      </c>
      <c r="C165" s="8">
        <v>75</v>
      </c>
      <c r="D165" s="8" t="s">
        <v>477</v>
      </c>
      <c r="E165" s="8" t="s">
        <v>476</v>
      </c>
      <c r="F165" s="8" t="s">
        <v>11</v>
      </c>
      <c r="G165" s="8" t="s">
        <v>36</v>
      </c>
      <c r="H165" s="8" t="s">
        <v>284</v>
      </c>
      <c r="I165" s="8" t="s">
        <v>18</v>
      </c>
      <c r="J165" s="8">
        <v>100</v>
      </c>
      <c r="K165" s="12">
        <v>1438500</v>
      </c>
      <c r="L165" s="12">
        <v>1438500</v>
      </c>
      <c r="M165" s="12">
        <v>0</v>
      </c>
      <c r="N165" s="12">
        <v>23000</v>
      </c>
      <c r="O165" s="12">
        <v>168500</v>
      </c>
      <c r="P165" s="12">
        <v>318500</v>
      </c>
      <c r="Q165" s="12">
        <v>328500</v>
      </c>
      <c r="R165" s="12">
        <v>300000</v>
      </c>
      <c r="S165" s="12">
        <v>300000</v>
      </c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</row>
    <row r="166" spans="1:28" ht="25.5" x14ac:dyDescent="0.2">
      <c r="A166" s="6">
        <v>305</v>
      </c>
      <c r="B166" s="11"/>
      <c r="C166" s="11">
        <v>75</v>
      </c>
      <c r="D166" s="11" t="s">
        <v>478</v>
      </c>
      <c r="E166" s="11" t="s">
        <v>476</v>
      </c>
      <c r="F166" s="11" t="s">
        <v>15</v>
      </c>
      <c r="G166" s="11"/>
      <c r="H166" s="11"/>
      <c r="I166" s="11"/>
      <c r="J166" s="11">
        <v>100</v>
      </c>
      <c r="K166" s="13">
        <v>674250</v>
      </c>
      <c r="L166" s="13">
        <v>674250</v>
      </c>
      <c r="M166" s="13">
        <v>0</v>
      </c>
      <c r="N166" s="13">
        <v>23000</v>
      </c>
      <c r="O166" s="13">
        <v>168500</v>
      </c>
      <c r="P166" s="13">
        <v>318500</v>
      </c>
      <c r="Q166" s="13">
        <v>164250</v>
      </c>
      <c r="R166" s="13"/>
      <c r="S166" s="13"/>
      <c r="T166" s="1"/>
      <c r="U166" s="1"/>
      <c r="V166" s="1"/>
      <c r="W166" s="1">
        <v>309134.08000000002</v>
      </c>
      <c r="X166" s="1">
        <v>309134.08000000002</v>
      </c>
      <c r="Y166" s="1">
        <v>45.85</v>
      </c>
      <c r="Z166" s="1">
        <v>309134.08000000002</v>
      </c>
      <c r="AA166" s="1">
        <v>0</v>
      </c>
      <c r="AB166" s="2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AF174"/>
  <sheetViews>
    <sheetView topLeftCell="A34" zoomScale="85" zoomScaleNormal="85" workbookViewId="0">
      <selection activeCell="K30" sqref="K30:M30"/>
    </sheetView>
  </sheetViews>
  <sheetFormatPr defaultColWidth="9.140625" defaultRowHeight="12.75" x14ac:dyDescent="0.2"/>
  <cols>
    <col min="1" max="1" width="0.7109375" customWidth="1"/>
    <col min="2" max="2" width="7.5703125" customWidth="1"/>
    <col min="3" max="3" width="8.140625" customWidth="1"/>
    <col min="4" max="4" width="12.5703125" customWidth="1"/>
    <col min="5" max="5" width="27.140625" customWidth="1"/>
    <col min="6" max="7" width="27.140625" hidden="1" customWidth="1"/>
    <col min="8" max="8" width="27.140625" customWidth="1"/>
    <col min="9" max="9" width="27.140625" hidden="1" customWidth="1"/>
    <col min="10" max="10" width="8.85546875" customWidth="1"/>
    <col min="11" max="12" width="12.7109375" bestFit="1" customWidth="1"/>
    <col min="13" max="19" width="11.7109375" bestFit="1" customWidth="1"/>
    <col min="20" max="28" width="9.140625" hidden="1" customWidth="1"/>
    <col min="29" max="29" width="11.7109375" bestFit="1" customWidth="1"/>
    <col min="30" max="30" width="14.140625" style="16" customWidth="1"/>
    <col min="31" max="31" width="13.7109375" style="16" bestFit="1" customWidth="1"/>
    <col min="32" max="32" width="12.42578125" style="16" bestFit="1" customWidth="1"/>
    <col min="33" max="16384" width="9.140625" style="16"/>
  </cols>
  <sheetData>
    <row r="1" spans="1:32" ht="50.25" customHeight="1" x14ac:dyDescent="0.2">
      <c r="A1" s="6" t="s">
        <v>809</v>
      </c>
      <c r="B1" s="7" t="s">
        <v>782</v>
      </c>
      <c r="C1" s="7" t="s">
        <v>783</v>
      </c>
      <c r="D1" s="7" t="s">
        <v>784</v>
      </c>
      <c r="E1" s="8" t="s">
        <v>785</v>
      </c>
      <c r="F1" s="8" t="s">
        <v>786</v>
      </c>
      <c r="G1" s="8" t="s">
        <v>787</v>
      </c>
      <c r="H1" s="8" t="s">
        <v>788</v>
      </c>
      <c r="I1" s="8" t="s">
        <v>789</v>
      </c>
      <c r="J1" s="8" t="s">
        <v>790</v>
      </c>
      <c r="K1" s="8" t="s">
        <v>791</v>
      </c>
      <c r="L1" s="8" t="s">
        <v>792</v>
      </c>
      <c r="M1" s="8" t="s">
        <v>793</v>
      </c>
      <c r="N1" s="8" t="s">
        <v>794</v>
      </c>
      <c r="O1" s="8" t="s">
        <v>795</v>
      </c>
      <c r="P1" s="8" t="s">
        <v>796</v>
      </c>
      <c r="Q1" s="8" t="s">
        <v>797</v>
      </c>
      <c r="R1" s="8" t="s">
        <v>798</v>
      </c>
      <c r="S1" s="8" t="s">
        <v>799</v>
      </c>
      <c r="T1" s="5" t="s">
        <v>800</v>
      </c>
      <c r="U1" s="5" t="s">
        <v>801</v>
      </c>
      <c r="V1" s="5" t="s">
        <v>802</v>
      </c>
      <c r="W1" s="5" t="s">
        <v>803</v>
      </c>
      <c r="X1" s="5" t="s">
        <v>804</v>
      </c>
      <c r="Y1" s="5" t="s">
        <v>805</v>
      </c>
      <c r="Z1" s="5" t="s">
        <v>806</v>
      </c>
      <c r="AA1" s="5" t="s">
        <v>807</v>
      </c>
      <c r="AB1" s="5" t="s">
        <v>808</v>
      </c>
      <c r="AC1" s="8" t="s">
        <v>819</v>
      </c>
      <c r="AE1" s="8" t="s">
        <v>791</v>
      </c>
      <c r="AF1" s="8" t="s">
        <v>792</v>
      </c>
    </row>
    <row r="2" spans="1:32" ht="25.5" x14ac:dyDescent="0.2">
      <c r="A2" s="27"/>
      <c r="B2" s="28"/>
      <c r="C2" s="28"/>
      <c r="D2" s="28" t="s">
        <v>479</v>
      </c>
      <c r="E2" s="28" t="s">
        <v>480</v>
      </c>
      <c r="F2" s="28"/>
      <c r="G2" s="28"/>
      <c r="H2" s="28"/>
      <c r="I2" s="28"/>
      <c r="J2" s="28"/>
      <c r="K2" s="29">
        <f>+K4+K47+K75+K108</f>
        <v>12817245.196666667</v>
      </c>
      <c r="L2" s="29">
        <f>+L4+L47+L75+L108</f>
        <v>9573066</v>
      </c>
      <c r="M2" s="29">
        <f>+M4+M47+M75+M108</f>
        <v>3191022.0033333329</v>
      </c>
      <c r="N2" s="29"/>
      <c r="O2" s="29"/>
      <c r="P2" s="29"/>
      <c r="Q2" s="29"/>
      <c r="R2" s="29"/>
      <c r="S2" s="29"/>
      <c r="T2" s="30"/>
      <c r="U2" s="30"/>
      <c r="V2" s="30"/>
      <c r="W2" s="30"/>
      <c r="X2" s="30"/>
      <c r="Y2" s="30"/>
      <c r="Z2" s="30"/>
      <c r="AA2" s="30"/>
      <c r="AB2" s="31"/>
      <c r="AC2" s="29"/>
    </row>
    <row r="3" spans="1:32" ht="25.5" x14ac:dyDescent="0.2">
      <c r="A3" s="6">
        <v>311</v>
      </c>
      <c r="B3" s="18"/>
      <c r="C3" s="18"/>
      <c r="D3" s="18" t="s">
        <v>479</v>
      </c>
      <c r="E3" s="18" t="s">
        <v>480</v>
      </c>
      <c r="F3" s="18" t="s">
        <v>2</v>
      </c>
      <c r="G3" s="18"/>
      <c r="H3" s="18"/>
      <c r="I3" s="18"/>
      <c r="J3" s="18">
        <v>75</v>
      </c>
      <c r="K3" s="19">
        <f>+K5+K48+K76+K109</f>
        <v>8919213.6115000006</v>
      </c>
      <c r="L3" s="19">
        <f t="shared" ref="L3:S3" si="0">+L5+L48+L76+L109</f>
        <v>6689410.2086250009</v>
      </c>
      <c r="M3" s="19">
        <f t="shared" si="0"/>
        <v>2229803.4028750001</v>
      </c>
      <c r="N3" s="19">
        <f t="shared" si="0"/>
        <v>141107.16125</v>
      </c>
      <c r="O3" s="19">
        <f t="shared" si="0"/>
        <v>1625306.6495000001</v>
      </c>
      <c r="P3" s="19">
        <f t="shared" si="0"/>
        <v>3701491.2894999995</v>
      </c>
      <c r="Q3" s="19">
        <f t="shared" si="0"/>
        <v>1635526.3512500001</v>
      </c>
      <c r="R3" s="19">
        <f t="shared" si="0"/>
        <v>933730.54999999993</v>
      </c>
      <c r="S3" s="19">
        <f t="shared" si="0"/>
        <v>882051.61</v>
      </c>
      <c r="T3" s="1">
        <v>568734.04</v>
      </c>
      <c r="U3" s="1">
        <v>588415.01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  <c r="AC3" s="19"/>
      <c r="AD3" s="57" t="s">
        <v>821</v>
      </c>
      <c r="AE3" s="58">
        <f>+K2-K3</f>
        <v>3898031.5851666667</v>
      </c>
      <c r="AF3" s="58">
        <f>+L2-L3</f>
        <v>2883655.7913749991</v>
      </c>
    </row>
    <row r="4" spans="1:32" ht="32.25" customHeight="1" x14ac:dyDescent="0.2">
      <c r="A4" s="6">
        <v>312</v>
      </c>
      <c r="B4" s="25"/>
      <c r="C4" s="25"/>
      <c r="D4" s="25" t="s">
        <v>481</v>
      </c>
      <c r="E4" s="25" t="s">
        <v>482</v>
      </c>
      <c r="F4" s="25" t="s">
        <v>5</v>
      </c>
      <c r="G4" s="25"/>
      <c r="H4" s="25"/>
      <c r="I4" s="25"/>
      <c r="J4" s="25">
        <v>75</v>
      </c>
      <c r="K4" s="26">
        <v>4393315.8600000003</v>
      </c>
      <c r="L4" s="26">
        <v>3255119</v>
      </c>
      <c r="M4" s="26">
        <v>1085039.67</v>
      </c>
      <c r="N4" s="26"/>
      <c r="O4" s="26"/>
      <c r="P4" s="26"/>
      <c r="Q4" s="26"/>
      <c r="R4" s="26"/>
      <c r="S4" s="26"/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  <c r="AC4" s="26"/>
    </row>
    <row r="5" spans="1:32" x14ac:dyDescent="0.2">
      <c r="A5" s="6">
        <v>312</v>
      </c>
      <c r="B5" s="18"/>
      <c r="C5" s="18"/>
      <c r="D5" s="18" t="s">
        <v>481</v>
      </c>
      <c r="E5" s="18" t="s">
        <v>482</v>
      </c>
      <c r="F5" s="18" t="s">
        <v>5</v>
      </c>
      <c r="G5" s="18"/>
      <c r="H5" s="18"/>
      <c r="I5" s="18"/>
      <c r="J5" s="18">
        <v>75</v>
      </c>
      <c r="K5" s="19">
        <f>+K6+K19+K31+K36+K39+K42</f>
        <v>4710376.398</v>
      </c>
      <c r="L5" s="19">
        <f t="shared" ref="L5:S5" si="1">+L6+L19+L31+L36+L39+L42</f>
        <v>3532782.2985</v>
      </c>
      <c r="M5" s="19">
        <f t="shared" si="1"/>
        <v>1177594.0995</v>
      </c>
      <c r="N5" s="19">
        <f t="shared" si="1"/>
        <v>39063.440750000009</v>
      </c>
      <c r="O5" s="19">
        <f t="shared" si="1"/>
        <v>933665.82775000005</v>
      </c>
      <c r="P5" s="19">
        <f t="shared" si="1"/>
        <v>2181452.6392499995</v>
      </c>
      <c r="Q5" s="19">
        <f t="shared" si="1"/>
        <v>970527.01025000005</v>
      </c>
      <c r="R5" s="19">
        <f t="shared" si="1"/>
        <v>318673.21000000002</v>
      </c>
      <c r="S5" s="19">
        <f t="shared" si="1"/>
        <v>266994.26999999996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4">
        <v>0</v>
      </c>
      <c r="AC5" s="19"/>
      <c r="AD5" s="57" t="s">
        <v>822</v>
      </c>
      <c r="AE5" s="59">
        <f>+K4-K5</f>
        <v>-317060.53799999971</v>
      </c>
      <c r="AF5" s="59">
        <f>+L4-L5</f>
        <v>-277663.29850000003</v>
      </c>
    </row>
    <row r="6" spans="1:32" ht="51" x14ac:dyDescent="0.2">
      <c r="A6" s="6">
        <v>313</v>
      </c>
      <c r="B6" s="18"/>
      <c r="C6" s="18"/>
      <c r="D6" s="18" t="s">
        <v>483</v>
      </c>
      <c r="E6" s="18" t="s">
        <v>484</v>
      </c>
      <c r="F6" s="18" t="s">
        <v>8</v>
      </c>
      <c r="G6" s="18"/>
      <c r="H6" s="18"/>
      <c r="I6" s="18"/>
      <c r="J6" s="18">
        <v>75</v>
      </c>
      <c r="K6" s="19">
        <f>+K7+K9+K11+K13+K14+K16+K18</f>
        <v>1561337.7400000002</v>
      </c>
      <c r="L6" s="19">
        <f t="shared" ref="L6:AB6" si="2">+L7+L9+L11+L13+L14+L16+L18</f>
        <v>1171003.3049999999</v>
      </c>
      <c r="M6" s="19">
        <f t="shared" si="2"/>
        <v>390334.43500000006</v>
      </c>
      <c r="N6" s="19">
        <f t="shared" si="2"/>
        <v>4526.8407500000003</v>
      </c>
      <c r="O6" s="19">
        <f t="shared" si="2"/>
        <v>461014.50175</v>
      </c>
      <c r="P6" s="19">
        <f t="shared" si="2"/>
        <v>652973.52924999991</v>
      </c>
      <c r="Q6" s="19">
        <f t="shared" si="2"/>
        <v>293582.70825000003</v>
      </c>
      <c r="R6" s="19">
        <f t="shared" si="2"/>
        <v>74620.08</v>
      </c>
      <c r="S6" s="19">
        <f t="shared" si="2"/>
        <v>74620.08</v>
      </c>
      <c r="T6" s="19">
        <f t="shared" si="2"/>
        <v>0</v>
      </c>
      <c r="U6" s="19">
        <f t="shared" si="2"/>
        <v>0</v>
      </c>
      <c r="V6" s="19">
        <f t="shared" si="2"/>
        <v>0</v>
      </c>
      <c r="W6" s="19">
        <f t="shared" si="2"/>
        <v>0</v>
      </c>
      <c r="X6" s="19">
        <f t="shared" si="2"/>
        <v>0</v>
      </c>
      <c r="Y6" s="19">
        <f t="shared" si="2"/>
        <v>0</v>
      </c>
      <c r="Z6" s="19">
        <f t="shared" si="2"/>
        <v>0</v>
      </c>
      <c r="AA6" s="19">
        <f t="shared" si="2"/>
        <v>0</v>
      </c>
      <c r="AB6" s="19">
        <f t="shared" si="2"/>
        <v>0</v>
      </c>
      <c r="AC6" s="19"/>
    </row>
    <row r="7" spans="1:32" ht="38.25" x14ac:dyDescent="0.2">
      <c r="A7" s="6">
        <v>314</v>
      </c>
      <c r="B7" s="9">
        <v>103</v>
      </c>
      <c r="C7" s="9">
        <v>77</v>
      </c>
      <c r="D7" s="9" t="s">
        <v>485</v>
      </c>
      <c r="E7" s="9" t="s">
        <v>486</v>
      </c>
      <c r="F7" s="9" t="s">
        <v>11</v>
      </c>
      <c r="G7" s="9" t="s">
        <v>36</v>
      </c>
      <c r="H7" s="9" t="s">
        <v>487</v>
      </c>
      <c r="I7" s="9" t="s">
        <v>18</v>
      </c>
      <c r="J7" s="9">
        <v>75</v>
      </c>
      <c r="K7" s="10">
        <v>327600.64000000001</v>
      </c>
      <c r="L7" s="10">
        <f>0.75*K7</f>
        <v>245700.48000000001</v>
      </c>
      <c r="M7" s="10">
        <f>+K7-L7</f>
        <v>81900.160000000003</v>
      </c>
      <c r="N7" s="10"/>
      <c r="O7" s="10">
        <v>56042.15174999999</v>
      </c>
      <c r="P7" s="10">
        <v>65520.07</v>
      </c>
      <c r="Q7" s="10">
        <v>74998.278250000003</v>
      </c>
      <c r="R7" s="10">
        <v>65520.07</v>
      </c>
      <c r="S7" s="10">
        <v>65520.07</v>
      </c>
      <c r="T7" s="3"/>
      <c r="U7" s="3"/>
      <c r="V7" s="3"/>
      <c r="W7" s="3">
        <v>0</v>
      </c>
      <c r="X7" s="3">
        <v>0</v>
      </c>
      <c r="Y7" s="3">
        <v>0</v>
      </c>
      <c r="Z7" s="3">
        <v>0</v>
      </c>
      <c r="AA7" s="3">
        <v>0</v>
      </c>
      <c r="AB7" s="4">
        <v>0</v>
      </c>
      <c r="AC7" s="10"/>
    </row>
    <row r="8" spans="1:32" ht="76.5" x14ac:dyDescent="0.2">
      <c r="A8" s="6">
        <v>315</v>
      </c>
      <c r="B8" s="14"/>
      <c r="C8" s="14">
        <v>77</v>
      </c>
      <c r="D8" s="14" t="s">
        <v>488</v>
      </c>
      <c r="E8" s="14" t="s">
        <v>489</v>
      </c>
      <c r="F8" s="14" t="s">
        <v>15</v>
      </c>
      <c r="G8" s="14"/>
      <c r="H8" s="14"/>
      <c r="I8" s="14"/>
      <c r="J8" s="14">
        <v>75</v>
      </c>
      <c r="K8" s="15">
        <v>196560.5</v>
      </c>
      <c r="L8" s="15">
        <v>147420.37</v>
      </c>
      <c r="M8" s="15">
        <v>49140.13</v>
      </c>
      <c r="N8" s="15"/>
      <c r="O8" s="15">
        <f>54675.27*1.025</f>
        <v>56042.15174999999</v>
      </c>
      <c r="P8" s="15">
        <v>65520.07</v>
      </c>
      <c r="Q8" s="15">
        <f>+K8-O8-P8</f>
        <v>74998.278250000003</v>
      </c>
      <c r="R8" s="15"/>
      <c r="S8" s="15"/>
      <c r="T8" s="1"/>
      <c r="U8" s="1"/>
      <c r="V8" s="1"/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  <c r="AC8" s="37">
        <v>43465</v>
      </c>
      <c r="AD8" s="37"/>
    </row>
    <row r="9" spans="1:32" ht="38.25" x14ac:dyDescent="0.2">
      <c r="A9" s="6">
        <v>316</v>
      </c>
      <c r="B9" s="9">
        <v>104</v>
      </c>
      <c r="C9" s="9">
        <v>78</v>
      </c>
      <c r="D9" s="9" t="s">
        <v>490</v>
      </c>
      <c r="E9" s="9" t="s">
        <v>491</v>
      </c>
      <c r="F9" s="9" t="s">
        <v>11</v>
      </c>
      <c r="G9" s="9" t="s">
        <v>36</v>
      </c>
      <c r="H9" s="9" t="s">
        <v>284</v>
      </c>
      <c r="I9" s="9" t="s">
        <v>18</v>
      </c>
      <c r="J9" s="9">
        <v>75</v>
      </c>
      <c r="K9" s="10">
        <v>630867</v>
      </c>
      <c r="L9" s="10">
        <f>0.75*K9</f>
        <v>473150.25</v>
      </c>
      <c r="M9" s="10">
        <f>+K9-L9</f>
        <v>157716.75</v>
      </c>
      <c r="N9" s="10"/>
      <c r="O9" s="10">
        <v>200597.58</v>
      </c>
      <c r="P9" s="10">
        <v>220785</v>
      </c>
      <c r="Q9" s="10">
        <v>209484.42000000004</v>
      </c>
      <c r="R9" s="10"/>
      <c r="S9" s="10"/>
      <c r="T9" s="3"/>
      <c r="U9" s="3"/>
      <c r="V9" s="3"/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  <c r="AC9" s="10"/>
    </row>
    <row r="10" spans="1:32" ht="38.25" x14ac:dyDescent="0.2">
      <c r="A10" s="6">
        <v>317</v>
      </c>
      <c r="B10" s="14"/>
      <c r="C10" s="14">
        <v>78</v>
      </c>
      <c r="D10" s="14" t="s">
        <v>492</v>
      </c>
      <c r="E10" s="14" t="s">
        <v>491</v>
      </c>
      <c r="F10" s="14" t="s">
        <v>15</v>
      </c>
      <c r="G10" s="14"/>
      <c r="H10" s="14"/>
      <c r="I10" s="14"/>
      <c r="J10" s="14">
        <v>75</v>
      </c>
      <c r="K10" s="15">
        <v>630867</v>
      </c>
      <c r="L10" s="15">
        <v>473150.25</v>
      </c>
      <c r="M10" s="15">
        <v>157716.75</v>
      </c>
      <c r="N10" s="15"/>
      <c r="O10" s="15">
        <v>200597.58</v>
      </c>
      <c r="P10" s="15">
        <v>220785</v>
      </c>
      <c r="Q10" s="15">
        <f>+K10-O10-P10</f>
        <v>209484.42000000004</v>
      </c>
      <c r="R10" s="15"/>
      <c r="S10" s="15"/>
      <c r="T10" s="1"/>
      <c r="U10" s="1"/>
      <c r="V10" s="1"/>
      <c r="W10" s="1">
        <v>200597.58</v>
      </c>
      <c r="X10" s="1">
        <v>150448.18</v>
      </c>
      <c r="Y10" s="1">
        <v>31.8</v>
      </c>
      <c r="Z10" s="1">
        <v>150448.18</v>
      </c>
      <c r="AA10" s="1">
        <v>50149.4</v>
      </c>
      <c r="AB10" s="2">
        <v>0</v>
      </c>
      <c r="AC10" s="37">
        <v>43465</v>
      </c>
      <c r="AD10" s="37"/>
    </row>
    <row r="11" spans="1:32" ht="51" x14ac:dyDescent="0.2">
      <c r="A11" s="6">
        <v>318</v>
      </c>
      <c r="B11" s="9">
        <v>105</v>
      </c>
      <c r="C11" s="9">
        <v>79</v>
      </c>
      <c r="D11" s="9" t="s">
        <v>493</v>
      </c>
      <c r="E11" s="9" t="s">
        <v>494</v>
      </c>
      <c r="F11" s="9" t="s">
        <v>11</v>
      </c>
      <c r="G11" s="9" t="s">
        <v>23</v>
      </c>
      <c r="H11" s="9" t="s">
        <v>487</v>
      </c>
      <c r="I11" s="9" t="s">
        <v>18</v>
      </c>
      <c r="J11" s="9">
        <v>75</v>
      </c>
      <c r="K11" s="10">
        <v>165000</v>
      </c>
      <c r="L11" s="10">
        <f>0.75*K11</f>
        <v>123750</v>
      </c>
      <c r="M11" s="10">
        <f>+K11-L11</f>
        <v>41250</v>
      </c>
      <c r="N11" s="10"/>
      <c r="O11" s="10">
        <v>125000</v>
      </c>
      <c r="P11" s="36">
        <v>40000</v>
      </c>
      <c r="Q11" s="10"/>
      <c r="R11" s="10"/>
      <c r="S11" s="10"/>
      <c r="T11" s="3"/>
      <c r="U11" s="3"/>
      <c r="V11" s="3"/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4">
        <v>0</v>
      </c>
      <c r="AC11" s="10"/>
    </row>
    <row r="12" spans="1:32" ht="51" x14ac:dyDescent="0.2">
      <c r="A12" s="6">
        <v>319</v>
      </c>
      <c r="B12" s="14"/>
      <c r="C12" s="14">
        <v>79</v>
      </c>
      <c r="D12" s="14" t="s">
        <v>495</v>
      </c>
      <c r="E12" s="14" t="s">
        <v>496</v>
      </c>
      <c r="F12" s="14" t="s">
        <v>15</v>
      </c>
      <c r="G12" s="14"/>
      <c r="H12" s="14"/>
      <c r="I12" s="14"/>
      <c r="J12" s="14">
        <v>75</v>
      </c>
      <c r="K12" s="15">
        <v>141960.14000000001</v>
      </c>
      <c r="L12" s="15">
        <v>106470.1</v>
      </c>
      <c r="M12" s="15">
        <v>35490.04</v>
      </c>
      <c r="N12" s="15"/>
      <c r="O12" s="15">
        <v>112984.88</v>
      </c>
      <c r="P12" s="15">
        <f>+K12-O12</f>
        <v>28975.260000000009</v>
      </c>
      <c r="Q12" s="15"/>
      <c r="R12" s="15"/>
      <c r="S12" s="15"/>
      <c r="T12" s="1"/>
      <c r="U12" s="1"/>
      <c r="V12" s="1"/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2">
        <v>0</v>
      </c>
      <c r="AC12" s="37">
        <v>43465</v>
      </c>
      <c r="AD12" s="37"/>
    </row>
    <row r="13" spans="1:32" ht="25.5" x14ac:dyDescent="0.2">
      <c r="A13" s="6">
        <v>320</v>
      </c>
      <c r="B13" s="9">
        <v>106</v>
      </c>
      <c r="C13" s="9">
        <v>80</v>
      </c>
      <c r="D13" s="9" t="s">
        <v>497</v>
      </c>
      <c r="E13" s="9" t="s">
        <v>498</v>
      </c>
      <c r="F13" s="9" t="s">
        <v>11</v>
      </c>
      <c r="G13" s="9" t="s">
        <v>23</v>
      </c>
      <c r="H13" s="9" t="s">
        <v>499</v>
      </c>
      <c r="I13" s="9" t="s">
        <v>18</v>
      </c>
      <c r="J13" s="9">
        <v>75</v>
      </c>
      <c r="K13" s="10">
        <f>+P13</f>
        <v>256249.99999999997</v>
      </c>
      <c r="L13" s="10">
        <f>0.75*K13</f>
        <v>192187.49999999997</v>
      </c>
      <c r="M13" s="10">
        <f>+K13-L13</f>
        <v>64062.5</v>
      </c>
      <c r="N13" s="10"/>
      <c r="O13" s="10"/>
      <c r="P13" s="36">
        <f>250000*1.025</f>
        <v>256249.99999999997</v>
      </c>
      <c r="Q13" s="10"/>
      <c r="R13" s="10"/>
      <c r="S13" s="10"/>
      <c r="T13" s="3"/>
      <c r="U13" s="3"/>
      <c r="V13" s="3"/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4">
        <v>0</v>
      </c>
      <c r="AC13" s="10"/>
    </row>
    <row r="14" spans="1:32" ht="38.25" x14ac:dyDescent="0.2">
      <c r="A14" s="6">
        <v>321</v>
      </c>
      <c r="B14" s="9">
        <v>107</v>
      </c>
      <c r="C14" s="9">
        <v>80</v>
      </c>
      <c r="D14" s="9" t="s">
        <v>500</v>
      </c>
      <c r="E14" s="9" t="s">
        <v>501</v>
      </c>
      <c r="F14" s="9" t="s">
        <v>11</v>
      </c>
      <c r="G14" s="9" t="s">
        <v>23</v>
      </c>
      <c r="H14" s="9" t="s">
        <v>499</v>
      </c>
      <c r="I14" s="9" t="s">
        <v>18</v>
      </c>
      <c r="J14" s="9">
        <v>75</v>
      </c>
      <c r="K14" s="10">
        <v>65520.07</v>
      </c>
      <c r="L14" s="10">
        <f>0.75*K14</f>
        <v>49140.052499999998</v>
      </c>
      <c r="M14" s="10">
        <f>+K14-L14</f>
        <v>16380.017500000002</v>
      </c>
      <c r="N14" s="10"/>
      <c r="O14" s="10">
        <v>65520.07</v>
      </c>
      <c r="P14" s="10"/>
      <c r="Q14" s="10"/>
      <c r="R14" s="10"/>
      <c r="S14" s="10"/>
      <c r="T14" s="1"/>
      <c r="U14" s="1"/>
      <c r="V14" s="1"/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2">
        <v>0</v>
      </c>
      <c r="AC14" s="10"/>
    </row>
    <row r="15" spans="1:32" ht="38.25" x14ac:dyDescent="0.2">
      <c r="A15" s="6">
        <v>322</v>
      </c>
      <c r="B15" s="8"/>
      <c r="C15" s="8">
        <v>80</v>
      </c>
      <c r="D15" s="8" t="s">
        <v>502</v>
      </c>
      <c r="E15" s="8" t="s">
        <v>501</v>
      </c>
      <c r="F15" s="8" t="s">
        <v>15</v>
      </c>
      <c r="G15" s="8"/>
      <c r="H15" s="8"/>
      <c r="I15" s="8"/>
      <c r="J15" s="8">
        <v>75</v>
      </c>
      <c r="K15" s="12">
        <v>65520.07</v>
      </c>
      <c r="L15" s="12">
        <v>49140.05</v>
      </c>
      <c r="M15" s="12">
        <v>16380.02</v>
      </c>
      <c r="N15" s="12"/>
      <c r="O15" s="12">
        <v>65520.07</v>
      </c>
      <c r="P15" s="12"/>
      <c r="Q15" s="12"/>
      <c r="R15" s="12"/>
      <c r="S15" s="12"/>
      <c r="T15" s="3"/>
      <c r="U15" s="3"/>
      <c r="V15" s="3"/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4">
        <v>0</v>
      </c>
      <c r="AC15" s="37">
        <v>42735</v>
      </c>
      <c r="AD15" s="37"/>
    </row>
    <row r="16" spans="1:32" ht="38.25" x14ac:dyDescent="0.2">
      <c r="A16" s="6">
        <v>323</v>
      </c>
      <c r="B16" s="9">
        <v>108</v>
      </c>
      <c r="C16" s="9">
        <v>81</v>
      </c>
      <c r="D16" s="9" t="s">
        <v>503</v>
      </c>
      <c r="E16" s="9" t="s">
        <v>504</v>
      </c>
      <c r="F16" s="9" t="s">
        <v>11</v>
      </c>
      <c r="G16" s="9" t="s">
        <v>23</v>
      </c>
      <c r="H16" s="9" t="s">
        <v>487</v>
      </c>
      <c r="I16" s="9" t="s">
        <v>18</v>
      </c>
      <c r="J16" s="9">
        <v>75</v>
      </c>
      <c r="K16" s="10">
        <v>54600.03</v>
      </c>
      <c r="L16" s="10">
        <f>0.75*K16</f>
        <v>40950.022499999999</v>
      </c>
      <c r="M16" s="10">
        <f>+K16-L16</f>
        <v>13650.0075</v>
      </c>
      <c r="N16" s="10">
        <v>4526.8407500000003</v>
      </c>
      <c r="O16" s="10">
        <v>13854.7</v>
      </c>
      <c r="P16" s="10">
        <v>8918.4592499999999</v>
      </c>
      <c r="Q16" s="10">
        <v>9100.01</v>
      </c>
      <c r="R16" s="10">
        <v>9100.01</v>
      </c>
      <c r="S16" s="10">
        <v>9100.01</v>
      </c>
      <c r="T16" s="1"/>
      <c r="U16" s="1"/>
      <c r="V16" s="1"/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2">
        <v>0</v>
      </c>
      <c r="AC16" s="10"/>
    </row>
    <row r="17" spans="1:30" ht="25.5" x14ac:dyDescent="0.2">
      <c r="A17" s="6">
        <v>324</v>
      </c>
      <c r="B17" s="8"/>
      <c r="C17" s="8">
        <v>81</v>
      </c>
      <c r="D17" s="8" t="s">
        <v>505</v>
      </c>
      <c r="E17" s="8" t="s">
        <v>504</v>
      </c>
      <c r="F17" s="8" t="s">
        <v>15</v>
      </c>
      <c r="G17" s="8"/>
      <c r="H17" s="8"/>
      <c r="I17" s="8"/>
      <c r="J17" s="8">
        <v>75</v>
      </c>
      <c r="K17" s="12">
        <v>27300</v>
      </c>
      <c r="L17" s="12">
        <v>20475</v>
      </c>
      <c r="M17" s="12">
        <v>6825</v>
      </c>
      <c r="N17" s="12">
        <f>4416.43*1.025</f>
        <v>4526.8407500000003</v>
      </c>
      <c r="O17" s="12">
        <v>13854.7</v>
      </c>
      <c r="P17" s="12">
        <f>+K17-N17-O17</f>
        <v>8918.4592499999999</v>
      </c>
      <c r="Q17" s="12"/>
      <c r="R17" s="12"/>
      <c r="S17" s="12"/>
      <c r="T17" s="3"/>
      <c r="U17" s="3"/>
      <c r="V17" s="3"/>
      <c r="W17" s="3">
        <v>16841.93</v>
      </c>
      <c r="X17" s="3">
        <v>12631.42</v>
      </c>
      <c r="Y17" s="3">
        <v>61.69</v>
      </c>
      <c r="Z17" s="3">
        <v>12631.42</v>
      </c>
      <c r="AA17" s="3">
        <v>4210.51</v>
      </c>
      <c r="AB17" s="4">
        <v>0</v>
      </c>
      <c r="AC17" s="37">
        <v>43100</v>
      </c>
      <c r="AD17" s="37"/>
    </row>
    <row r="18" spans="1:30" ht="51" x14ac:dyDescent="0.2">
      <c r="A18" s="6"/>
      <c r="B18" s="9" t="s">
        <v>816</v>
      </c>
      <c r="C18" s="9"/>
      <c r="D18" s="9" t="s">
        <v>817</v>
      </c>
      <c r="E18" s="9" t="s">
        <v>818</v>
      </c>
      <c r="F18" s="9" t="s">
        <v>11</v>
      </c>
      <c r="G18" s="9" t="s">
        <v>23</v>
      </c>
      <c r="H18" s="9" t="s">
        <v>499</v>
      </c>
      <c r="I18" s="9" t="s">
        <v>18</v>
      </c>
      <c r="J18" s="9">
        <v>75</v>
      </c>
      <c r="K18" s="10">
        <v>61500</v>
      </c>
      <c r="L18" s="10">
        <f>0.75*K18</f>
        <v>46125</v>
      </c>
      <c r="M18" s="10">
        <f>+K18-L18</f>
        <v>15375</v>
      </c>
      <c r="N18" s="10"/>
      <c r="O18" s="10"/>
      <c r="P18" s="36">
        <f>60000*1.025</f>
        <v>61499.999999999993</v>
      </c>
      <c r="Q18" s="10"/>
      <c r="R18" s="10"/>
      <c r="S18" s="10"/>
      <c r="T18" s="1"/>
      <c r="U18" s="1"/>
      <c r="V18" s="1"/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2">
        <v>0</v>
      </c>
      <c r="AC18" s="10"/>
    </row>
    <row r="19" spans="1:30" ht="38.25" x14ac:dyDescent="0.2">
      <c r="A19" s="6">
        <v>325</v>
      </c>
      <c r="B19" s="18"/>
      <c r="C19" s="18"/>
      <c r="D19" s="18" t="s">
        <v>506</v>
      </c>
      <c r="E19" s="18" t="s">
        <v>507</v>
      </c>
      <c r="F19" s="18" t="s">
        <v>8</v>
      </c>
      <c r="G19" s="18"/>
      <c r="H19" s="18"/>
      <c r="I19" s="18"/>
      <c r="J19" s="18">
        <v>75</v>
      </c>
      <c r="K19" s="19">
        <f>+K20+K22+K24+K26+K27+K29</f>
        <v>2294919.4885</v>
      </c>
      <c r="L19" s="19">
        <f t="shared" ref="L19:S19" si="3">+L20+L22+L24+L26+L27+L29</f>
        <v>1721189.616375</v>
      </c>
      <c r="M19" s="19">
        <f t="shared" si="3"/>
        <v>573729.87212499999</v>
      </c>
      <c r="N19" s="19">
        <f t="shared" si="3"/>
        <v>33661.660000000003</v>
      </c>
      <c r="O19" s="19">
        <f t="shared" si="3"/>
        <v>257303.66924999998</v>
      </c>
      <c r="P19" s="19">
        <f t="shared" si="3"/>
        <v>1258357.0499999998</v>
      </c>
      <c r="Q19" s="19">
        <f t="shared" si="3"/>
        <v>331555.78925000003</v>
      </c>
      <c r="R19" s="19">
        <f t="shared" si="3"/>
        <v>232860.13</v>
      </c>
      <c r="S19" s="19">
        <f t="shared" si="3"/>
        <v>181181.18999999997</v>
      </c>
      <c r="T19" s="19">
        <f t="shared" ref="T19:AB19" si="4">+T20+T22+T24+T26+T27+T29</f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  <c r="AB19" s="19">
        <f t="shared" si="4"/>
        <v>0</v>
      </c>
      <c r="AC19" s="19"/>
    </row>
    <row r="20" spans="1:30" ht="38.25" x14ac:dyDescent="0.2">
      <c r="A20" s="6">
        <v>326</v>
      </c>
      <c r="B20" s="9">
        <v>109</v>
      </c>
      <c r="C20" s="9">
        <v>82</v>
      </c>
      <c r="D20" s="9" t="s">
        <v>508</v>
      </c>
      <c r="E20" s="9" t="s">
        <v>509</v>
      </c>
      <c r="F20" s="9" t="s">
        <v>11</v>
      </c>
      <c r="G20" s="9" t="s">
        <v>23</v>
      </c>
      <c r="H20" s="9" t="s">
        <v>487</v>
      </c>
      <c r="I20" s="9" t="s">
        <v>18</v>
      </c>
      <c r="J20" s="9">
        <v>75</v>
      </c>
      <c r="K20" s="10">
        <v>604571.05000000005</v>
      </c>
      <c r="L20" s="10">
        <f>0.75*K20</f>
        <v>453428.28750000003</v>
      </c>
      <c r="M20" s="10">
        <f>+K20-L20</f>
        <v>151142.76250000001</v>
      </c>
      <c r="N20" s="10">
        <v>0</v>
      </c>
      <c r="O20" s="10">
        <v>0</v>
      </c>
      <c r="P20" s="36">
        <f>250000*1.025</f>
        <v>256249.99999999997</v>
      </c>
      <c r="Q20" s="10">
        <v>200000</v>
      </c>
      <c r="R20" s="10">
        <v>100000</v>
      </c>
      <c r="S20" s="10">
        <v>48321.05</v>
      </c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  <c r="AC20" s="10"/>
    </row>
    <row r="21" spans="1:30" ht="25.5" x14ac:dyDescent="0.2">
      <c r="A21" s="6">
        <v>327</v>
      </c>
      <c r="B21" s="22"/>
      <c r="C21" s="22">
        <v>82</v>
      </c>
      <c r="D21" s="22" t="s">
        <v>510</v>
      </c>
      <c r="E21" s="22" t="s">
        <v>511</v>
      </c>
      <c r="F21" s="22" t="s">
        <v>15</v>
      </c>
      <c r="G21" s="22"/>
      <c r="H21" s="22"/>
      <c r="I21" s="22"/>
      <c r="J21" s="22">
        <v>75</v>
      </c>
      <c r="K21" s="23">
        <v>256250</v>
      </c>
      <c r="L21" s="23">
        <f>0.75*K21</f>
        <v>192187.5</v>
      </c>
      <c r="M21" s="23">
        <f>+K21-L21</f>
        <v>64062.5</v>
      </c>
      <c r="N21" s="23">
        <v>0</v>
      </c>
      <c r="O21" s="23">
        <v>0</v>
      </c>
      <c r="P21" s="23">
        <f>+P20</f>
        <v>256249.99999999997</v>
      </c>
      <c r="Q21" s="23"/>
      <c r="R21" s="23"/>
      <c r="S21" s="23"/>
      <c r="T21" s="1"/>
      <c r="U21" s="1"/>
      <c r="V21" s="1"/>
      <c r="W21" s="1">
        <v>414054.73</v>
      </c>
      <c r="X21" s="1">
        <v>310540.99</v>
      </c>
      <c r="Y21" s="1">
        <v>59.15</v>
      </c>
      <c r="Z21" s="1">
        <v>310540.99</v>
      </c>
      <c r="AA21" s="1">
        <v>103513.74</v>
      </c>
      <c r="AB21" s="2">
        <v>0</v>
      </c>
      <c r="AC21" s="37">
        <v>43100</v>
      </c>
      <c r="AD21" s="16" t="s">
        <v>820</v>
      </c>
    </row>
    <row r="22" spans="1:30" ht="38.25" x14ac:dyDescent="0.2">
      <c r="A22" s="6">
        <v>328</v>
      </c>
      <c r="B22" s="9">
        <v>110</v>
      </c>
      <c r="C22" s="9">
        <v>83</v>
      </c>
      <c r="D22" s="9" t="s">
        <v>512</v>
      </c>
      <c r="E22" s="9" t="s">
        <v>513</v>
      </c>
      <c r="F22" s="9" t="s">
        <v>11</v>
      </c>
      <c r="G22" s="9" t="s">
        <v>23</v>
      </c>
      <c r="H22" s="9" t="s">
        <v>487</v>
      </c>
      <c r="I22" s="9" t="s">
        <v>18</v>
      </c>
      <c r="J22" s="9">
        <v>75</v>
      </c>
      <c r="K22" s="10">
        <v>176040.12</v>
      </c>
      <c r="L22" s="10">
        <f>0.75*K22</f>
        <v>132030.09</v>
      </c>
      <c r="M22" s="10">
        <f>+K22-L22</f>
        <v>44010.03</v>
      </c>
      <c r="N22" s="10"/>
      <c r="O22" s="10">
        <v>44064.370749999995</v>
      </c>
      <c r="P22" s="10">
        <v>35000</v>
      </c>
      <c r="Q22" s="10">
        <v>31455.689249999996</v>
      </c>
      <c r="R22" s="10">
        <v>32760.03</v>
      </c>
      <c r="S22" s="10">
        <v>32760.03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  <c r="AC22" s="10"/>
    </row>
    <row r="23" spans="1:30" ht="25.5" x14ac:dyDescent="0.2">
      <c r="A23" s="6">
        <v>329</v>
      </c>
      <c r="B23" s="14"/>
      <c r="C23" s="14">
        <v>83</v>
      </c>
      <c r="D23" s="14" t="s">
        <v>514</v>
      </c>
      <c r="E23" s="14" t="s">
        <v>515</v>
      </c>
      <c r="F23" s="14" t="s">
        <v>15</v>
      </c>
      <c r="G23" s="14"/>
      <c r="H23" s="14"/>
      <c r="I23" s="14"/>
      <c r="J23" s="14">
        <v>75</v>
      </c>
      <c r="K23" s="15">
        <v>110520.06</v>
      </c>
      <c r="L23" s="15">
        <v>82890.039999999994</v>
      </c>
      <c r="M23" s="15">
        <v>27630.02</v>
      </c>
      <c r="N23" s="15"/>
      <c r="O23" s="15">
        <f>42989.63*1.025</f>
        <v>44064.370749999995</v>
      </c>
      <c r="P23" s="15">
        <v>35000</v>
      </c>
      <c r="Q23" s="15">
        <f>+K23-O23-P23</f>
        <v>31455.689249999996</v>
      </c>
      <c r="R23" s="15"/>
      <c r="S23" s="15"/>
      <c r="T23" s="1"/>
      <c r="U23" s="1"/>
      <c r="V23" s="1"/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2">
        <v>0</v>
      </c>
      <c r="AC23" s="38">
        <v>43465</v>
      </c>
    </row>
    <row r="24" spans="1:30" ht="38.25" x14ac:dyDescent="0.2">
      <c r="A24" s="6">
        <v>330</v>
      </c>
      <c r="B24" s="9">
        <v>111</v>
      </c>
      <c r="C24" s="9">
        <v>84</v>
      </c>
      <c r="D24" s="9" t="s">
        <v>516</v>
      </c>
      <c r="E24" s="9" t="s">
        <v>517</v>
      </c>
      <c r="F24" s="9" t="s">
        <v>11</v>
      </c>
      <c r="G24" s="9" t="s">
        <v>23</v>
      </c>
      <c r="H24" s="9" t="s">
        <v>487</v>
      </c>
      <c r="I24" s="9" t="s">
        <v>18</v>
      </c>
      <c r="J24" s="9">
        <v>75</v>
      </c>
      <c r="K24" s="10">
        <f>+N24+O24+P24+Q24+R24+S24</f>
        <v>636358.22849999985</v>
      </c>
      <c r="L24" s="10">
        <f>0.75*K24</f>
        <v>477268.67137499992</v>
      </c>
      <c r="M24" s="10">
        <f>+K24-L24</f>
        <v>159089.55712499993</v>
      </c>
      <c r="N24" s="10">
        <v>29181.66</v>
      </c>
      <c r="O24" s="10">
        <v>199176.29849999998</v>
      </c>
      <c r="P24" s="10">
        <v>135000</v>
      </c>
      <c r="Q24" s="10">
        <v>91000.09</v>
      </c>
      <c r="R24" s="10">
        <v>91000.09</v>
      </c>
      <c r="S24" s="10">
        <v>91000.09</v>
      </c>
      <c r="T24" s="3"/>
      <c r="U24" s="3"/>
      <c r="V24" s="3"/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  <c r="AC24" s="39"/>
    </row>
    <row r="25" spans="1:30" ht="25.5" x14ac:dyDescent="0.2">
      <c r="A25" s="6">
        <v>331</v>
      </c>
      <c r="B25" s="22"/>
      <c r="C25" s="22">
        <v>84</v>
      </c>
      <c r="D25" s="22" t="s">
        <v>518</v>
      </c>
      <c r="E25" s="22" t="s">
        <v>517</v>
      </c>
      <c r="F25" s="22" t="s">
        <v>15</v>
      </c>
      <c r="G25" s="22"/>
      <c r="H25" s="22"/>
      <c r="I25" s="22"/>
      <c r="J25" s="22">
        <v>75</v>
      </c>
      <c r="K25" s="23">
        <v>305000.19</v>
      </c>
      <c r="L25" s="23">
        <v>228750.14</v>
      </c>
      <c r="M25" s="23">
        <v>76250.05</v>
      </c>
      <c r="N25" s="23">
        <v>29181.66</v>
      </c>
      <c r="O25" s="23">
        <f>194318.34*1.025</f>
        <v>199176.29849999998</v>
      </c>
      <c r="P25" s="23">
        <f>+K25-N25-O25</f>
        <v>76642.231500000053</v>
      </c>
      <c r="Q25" s="23"/>
      <c r="R25" s="23"/>
      <c r="S25" s="23"/>
      <c r="T25" s="1"/>
      <c r="U25" s="1"/>
      <c r="V25" s="1"/>
      <c r="W25" s="1">
        <v>60681.71</v>
      </c>
      <c r="X25" s="1">
        <v>45511.28</v>
      </c>
      <c r="Y25" s="1">
        <v>19.899999999999999</v>
      </c>
      <c r="Z25" s="1">
        <v>45511.28</v>
      </c>
      <c r="AA25" s="1">
        <v>15170.43</v>
      </c>
      <c r="AB25" s="2">
        <v>0</v>
      </c>
      <c r="AC25" s="40">
        <v>43100</v>
      </c>
    </row>
    <row r="26" spans="1:30" ht="51" x14ac:dyDescent="0.2">
      <c r="A26" s="6">
        <v>332</v>
      </c>
      <c r="B26" s="9">
        <v>112</v>
      </c>
      <c r="C26" s="9">
        <v>0</v>
      </c>
      <c r="D26" s="9" t="s">
        <v>519</v>
      </c>
      <c r="E26" s="9" t="s">
        <v>520</v>
      </c>
      <c r="F26" s="9" t="s">
        <v>11</v>
      </c>
      <c r="G26" s="9"/>
      <c r="H26" s="9" t="s">
        <v>487</v>
      </c>
      <c r="I26" s="9" t="s">
        <v>18</v>
      </c>
      <c r="J26" s="9">
        <v>75</v>
      </c>
      <c r="K26" s="10">
        <v>54600.05</v>
      </c>
      <c r="L26" s="10">
        <f>0.75*K26</f>
        <v>40950.037500000006</v>
      </c>
      <c r="M26" s="10">
        <f>+K26-L26</f>
        <v>13650.012499999997</v>
      </c>
      <c r="N26" s="10"/>
      <c r="O26" s="10"/>
      <c r="P26" s="10">
        <v>54600.05</v>
      </c>
      <c r="Q26" s="10"/>
      <c r="R26" s="10"/>
      <c r="S26" s="10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  <c r="AC26" s="39"/>
    </row>
    <row r="27" spans="1:30" ht="38.25" x14ac:dyDescent="0.2">
      <c r="A27" s="6">
        <v>333</v>
      </c>
      <c r="B27" s="9">
        <v>113</v>
      </c>
      <c r="C27" s="9"/>
      <c r="D27" s="9" t="s">
        <v>521</v>
      </c>
      <c r="E27" s="9" t="s">
        <v>522</v>
      </c>
      <c r="F27" s="9" t="s">
        <v>11</v>
      </c>
      <c r="G27" s="9"/>
      <c r="H27" s="9" t="s">
        <v>487</v>
      </c>
      <c r="I27" s="9" t="s">
        <v>18</v>
      </c>
      <c r="J27" s="9">
        <v>75</v>
      </c>
      <c r="K27" s="10">
        <v>54600.04</v>
      </c>
      <c r="L27" s="10">
        <f>0.75*K27</f>
        <v>40950.03</v>
      </c>
      <c r="M27" s="10">
        <f>+K27-L27</f>
        <v>13650.010000000002</v>
      </c>
      <c r="N27" s="10">
        <v>4480</v>
      </c>
      <c r="O27" s="10">
        <v>14062.999999999998</v>
      </c>
      <c r="P27" s="10">
        <v>8757.0000000000018</v>
      </c>
      <c r="Q27" s="10">
        <v>9100.01</v>
      </c>
      <c r="R27" s="10">
        <v>9100.01</v>
      </c>
      <c r="S27" s="10">
        <v>9100.02</v>
      </c>
      <c r="T27" s="1"/>
      <c r="U27" s="1"/>
      <c r="V27" s="1"/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  <c r="AC27" s="39"/>
    </row>
    <row r="28" spans="1:30" ht="25.5" x14ac:dyDescent="0.2">
      <c r="A28" s="6">
        <v>334</v>
      </c>
      <c r="B28" s="8"/>
      <c r="C28" s="8">
        <v>85</v>
      </c>
      <c r="D28" s="8" t="s">
        <v>523</v>
      </c>
      <c r="E28" s="8" t="s">
        <v>522</v>
      </c>
      <c r="F28" s="8" t="s">
        <v>15</v>
      </c>
      <c r="G28" s="8"/>
      <c r="H28" s="8"/>
      <c r="I28" s="8"/>
      <c r="J28" s="8">
        <v>75</v>
      </c>
      <c r="K28" s="12">
        <v>27300</v>
      </c>
      <c r="L28" s="12">
        <v>20475</v>
      </c>
      <c r="M28" s="12">
        <v>6825</v>
      </c>
      <c r="N28" s="12">
        <v>4480</v>
      </c>
      <c r="O28" s="12">
        <f>13720*1.025</f>
        <v>14062.999999999998</v>
      </c>
      <c r="P28" s="12">
        <f>+K28-N28-O28</f>
        <v>8757.0000000000018</v>
      </c>
      <c r="Q28" s="12"/>
      <c r="R28" s="12"/>
      <c r="S28" s="12"/>
      <c r="T28" s="3"/>
      <c r="U28" s="3"/>
      <c r="V28" s="3"/>
      <c r="W28" s="3">
        <v>7480</v>
      </c>
      <c r="X28" s="3">
        <v>5610</v>
      </c>
      <c r="Y28" s="3">
        <v>27.4</v>
      </c>
      <c r="Z28" s="3">
        <v>5610</v>
      </c>
      <c r="AA28" s="3">
        <v>1870</v>
      </c>
      <c r="AB28" s="4">
        <v>0</v>
      </c>
      <c r="AC28" s="41">
        <v>43100</v>
      </c>
    </row>
    <row r="29" spans="1:30" ht="38.25" x14ac:dyDescent="0.2">
      <c r="A29" s="6">
        <v>335</v>
      </c>
      <c r="B29" s="9">
        <v>114</v>
      </c>
      <c r="C29" s="9"/>
      <c r="D29" s="9" t="s">
        <v>524</v>
      </c>
      <c r="E29" s="9" t="s">
        <v>525</v>
      </c>
      <c r="F29" s="9" t="s">
        <v>11</v>
      </c>
      <c r="G29" s="9"/>
      <c r="H29" s="9" t="s">
        <v>487</v>
      </c>
      <c r="I29" s="9" t="s">
        <v>18</v>
      </c>
      <c r="J29" s="9">
        <v>75</v>
      </c>
      <c r="K29" s="10">
        <v>768750</v>
      </c>
      <c r="L29" s="10">
        <f>0.75*K29</f>
        <v>576562.5</v>
      </c>
      <c r="M29" s="10">
        <f>+K29-L29</f>
        <v>192187.5</v>
      </c>
      <c r="N29" s="10"/>
      <c r="O29" s="10"/>
      <c r="P29" s="36">
        <f>750000*1.025</f>
        <v>768749.99999999988</v>
      </c>
      <c r="Q29" s="10"/>
      <c r="R29" s="10"/>
      <c r="S29" s="10"/>
      <c r="T29" s="1"/>
      <c r="U29" s="1"/>
      <c r="V29" s="1"/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  <c r="AC29" s="39"/>
    </row>
    <row r="30" spans="1:30" ht="38.25" x14ac:dyDescent="0.2">
      <c r="A30" s="6">
        <v>336</v>
      </c>
      <c r="B30" s="8"/>
      <c r="C30" s="8">
        <v>86</v>
      </c>
      <c r="D30" s="8" t="s">
        <v>526</v>
      </c>
      <c r="E30" s="8" t="s">
        <v>525</v>
      </c>
      <c r="F30" s="8" t="s">
        <v>15</v>
      </c>
      <c r="G30" s="8"/>
      <c r="H30" s="8"/>
      <c r="I30" s="8"/>
      <c r="J30" s="8">
        <v>75</v>
      </c>
      <c r="K30" s="12">
        <v>768750</v>
      </c>
      <c r="L30" s="12">
        <v>576562.5</v>
      </c>
      <c r="M30" s="12">
        <v>192187.5</v>
      </c>
      <c r="N30" s="12"/>
      <c r="O30" s="12"/>
      <c r="P30" s="12">
        <f>+P29</f>
        <v>768749.99999999988</v>
      </c>
      <c r="Q30" s="12"/>
      <c r="R30" s="12"/>
      <c r="S30" s="12"/>
      <c r="T30" s="3"/>
      <c r="U30" s="3"/>
      <c r="V30" s="3"/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4">
        <v>0</v>
      </c>
      <c r="AC30" s="41">
        <v>43100</v>
      </c>
    </row>
    <row r="31" spans="1:30" ht="25.5" x14ac:dyDescent="0.2">
      <c r="A31" s="6">
        <v>337</v>
      </c>
      <c r="B31" s="18"/>
      <c r="C31" s="18"/>
      <c r="D31" s="18" t="s">
        <v>527</v>
      </c>
      <c r="E31" s="18" t="s">
        <v>528</v>
      </c>
      <c r="F31" s="18" t="s">
        <v>8</v>
      </c>
      <c r="G31" s="18"/>
      <c r="H31" s="18"/>
      <c r="I31" s="18"/>
      <c r="J31" s="18">
        <v>75</v>
      </c>
      <c r="K31" s="19">
        <f>+K32+K34</f>
        <v>467600.33</v>
      </c>
      <c r="L31" s="19">
        <f t="shared" ref="L31:S31" si="5">+L32+L34</f>
        <v>350700.24750000006</v>
      </c>
      <c r="M31" s="19">
        <f t="shared" si="5"/>
        <v>116900.08249999999</v>
      </c>
      <c r="N31" s="19">
        <f t="shared" si="5"/>
        <v>0</v>
      </c>
      <c r="O31" s="19">
        <f t="shared" si="5"/>
        <v>97014.856</v>
      </c>
      <c r="P31" s="19">
        <f t="shared" si="5"/>
        <v>196400.04</v>
      </c>
      <c r="Q31" s="19">
        <f t="shared" si="5"/>
        <v>174185.43400000004</v>
      </c>
      <c r="R31" s="19">
        <f t="shared" si="5"/>
        <v>0</v>
      </c>
      <c r="S31" s="19">
        <f t="shared" si="5"/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2">
        <v>0</v>
      </c>
      <c r="AC31" s="42"/>
    </row>
    <row r="32" spans="1:30" ht="38.25" x14ac:dyDescent="0.2">
      <c r="A32" s="6">
        <v>338</v>
      </c>
      <c r="B32" s="9">
        <v>115</v>
      </c>
      <c r="C32" s="9">
        <v>87</v>
      </c>
      <c r="D32" s="9" t="s">
        <v>529</v>
      </c>
      <c r="E32" s="9" t="s">
        <v>530</v>
      </c>
      <c r="F32" s="9" t="s">
        <v>11</v>
      </c>
      <c r="G32" s="9" t="s">
        <v>23</v>
      </c>
      <c r="H32" s="9" t="s">
        <v>487</v>
      </c>
      <c r="I32" s="9" t="s">
        <v>18</v>
      </c>
      <c r="J32" s="9">
        <v>75</v>
      </c>
      <c r="K32" s="10">
        <v>109200.11</v>
      </c>
      <c r="L32" s="10">
        <f>0.75*K32</f>
        <v>81900.082500000004</v>
      </c>
      <c r="M32" s="10">
        <f>+K32-L32</f>
        <v>27300.027499999997</v>
      </c>
      <c r="N32" s="10"/>
      <c r="O32" s="10">
        <v>33526.489249999999</v>
      </c>
      <c r="P32" s="10">
        <v>46400.04</v>
      </c>
      <c r="Q32" s="10">
        <v>29273.580750000001</v>
      </c>
      <c r="R32" s="10"/>
      <c r="S32" s="10"/>
      <c r="T32" s="3"/>
      <c r="U32" s="3"/>
      <c r="V32" s="3"/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4">
        <v>0</v>
      </c>
      <c r="AC32" s="39"/>
    </row>
    <row r="33" spans="1:32" ht="25.5" x14ac:dyDescent="0.2">
      <c r="A33" s="6">
        <v>339</v>
      </c>
      <c r="B33" s="22"/>
      <c r="C33" s="22">
        <v>87</v>
      </c>
      <c r="D33" s="22" t="s">
        <v>531</v>
      </c>
      <c r="E33" s="22" t="s">
        <v>530</v>
      </c>
      <c r="F33" s="22" t="s">
        <v>15</v>
      </c>
      <c r="G33" s="22"/>
      <c r="H33" s="22"/>
      <c r="I33" s="22"/>
      <c r="J33" s="22">
        <v>75</v>
      </c>
      <c r="K33" s="23">
        <v>109200.11</v>
      </c>
      <c r="L33" s="23">
        <v>81900.08</v>
      </c>
      <c r="M33" s="23">
        <v>27300.03</v>
      </c>
      <c r="N33" s="23"/>
      <c r="O33" s="23">
        <f>32708.77*1.025</f>
        <v>33526.489249999999</v>
      </c>
      <c r="P33" s="23">
        <v>46400.04</v>
      </c>
      <c r="Q33" s="23">
        <f>+K33-O33-P33</f>
        <v>29273.580750000001</v>
      </c>
      <c r="R33" s="23"/>
      <c r="S33" s="23"/>
      <c r="T33" s="1"/>
      <c r="U33" s="1"/>
      <c r="V33" s="1"/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2">
        <v>0</v>
      </c>
      <c r="AC33" s="40">
        <v>43465</v>
      </c>
    </row>
    <row r="34" spans="1:32" ht="38.25" x14ac:dyDescent="0.2">
      <c r="A34" s="6">
        <v>340</v>
      </c>
      <c r="B34" s="9">
        <v>116</v>
      </c>
      <c r="C34" s="9">
        <v>88</v>
      </c>
      <c r="D34" s="9" t="s">
        <v>532</v>
      </c>
      <c r="E34" s="9" t="s">
        <v>533</v>
      </c>
      <c r="F34" s="9" t="s">
        <v>11</v>
      </c>
      <c r="G34" s="9" t="s">
        <v>28</v>
      </c>
      <c r="H34" s="9" t="s">
        <v>284</v>
      </c>
      <c r="I34" s="9" t="s">
        <v>18</v>
      </c>
      <c r="J34" s="9">
        <v>75</v>
      </c>
      <c r="K34" s="10">
        <f>+O34+P34+Q34</f>
        <v>358400.22000000003</v>
      </c>
      <c r="L34" s="10">
        <f>0.75*K34</f>
        <v>268800.16500000004</v>
      </c>
      <c r="M34" s="10">
        <f>+K34-L34</f>
        <v>89600.054999999993</v>
      </c>
      <c r="N34" s="10"/>
      <c r="O34" s="10">
        <v>63488.366749999994</v>
      </c>
      <c r="P34" s="10">
        <v>150000</v>
      </c>
      <c r="Q34" s="10">
        <v>144911.85325000004</v>
      </c>
      <c r="R34" s="10"/>
      <c r="S34" s="10"/>
      <c r="T34" s="3"/>
      <c r="U34" s="3"/>
      <c r="V34" s="3"/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4">
        <v>0</v>
      </c>
      <c r="AC34" s="39"/>
    </row>
    <row r="35" spans="1:32" ht="51" x14ac:dyDescent="0.2">
      <c r="A35" s="6">
        <v>341</v>
      </c>
      <c r="B35" s="14"/>
      <c r="C35" s="14">
        <v>88</v>
      </c>
      <c r="D35" s="14" t="s">
        <v>534</v>
      </c>
      <c r="E35" s="14" t="s">
        <v>535</v>
      </c>
      <c r="F35" s="14" t="s">
        <v>15</v>
      </c>
      <c r="G35" s="14"/>
      <c r="H35" s="14"/>
      <c r="I35" s="14"/>
      <c r="J35" s="14">
        <v>75</v>
      </c>
      <c r="K35" s="15">
        <v>358400.22000000003</v>
      </c>
      <c r="L35" s="15">
        <v>268800.16500000004</v>
      </c>
      <c r="M35" s="15">
        <v>89600.054999999993</v>
      </c>
      <c r="N35" s="15"/>
      <c r="O35" s="15">
        <v>63488.366749999994</v>
      </c>
      <c r="P35" s="15">
        <v>150000</v>
      </c>
      <c r="Q35" s="15">
        <v>144911.85325000004</v>
      </c>
      <c r="R35" s="15"/>
      <c r="S35" s="15"/>
      <c r="T35" s="1"/>
      <c r="U35" s="1"/>
      <c r="V35" s="1"/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2">
        <v>0</v>
      </c>
      <c r="AC35" s="38">
        <v>43465</v>
      </c>
    </row>
    <row r="36" spans="1:32" ht="51" x14ac:dyDescent="0.2">
      <c r="A36" s="6">
        <v>342</v>
      </c>
      <c r="B36" s="18"/>
      <c r="C36" s="18"/>
      <c r="D36" s="18" t="s">
        <v>536</v>
      </c>
      <c r="E36" s="18" t="s">
        <v>537</v>
      </c>
      <c r="F36" s="18" t="s">
        <v>8</v>
      </c>
      <c r="G36" s="18"/>
      <c r="H36" s="18"/>
      <c r="I36" s="18"/>
      <c r="J36" s="18">
        <v>75</v>
      </c>
      <c r="K36" s="19">
        <f>+K37</f>
        <v>54600.06</v>
      </c>
      <c r="L36" s="19">
        <f t="shared" ref="L36:Q36" si="6">+L37</f>
        <v>40950.044999999998</v>
      </c>
      <c r="M36" s="19">
        <f t="shared" si="6"/>
        <v>13650.014999999999</v>
      </c>
      <c r="N36" s="19">
        <f t="shared" si="6"/>
        <v>0</v>
      </c>
      <c r="O36" s="19">
        <f t="shared" si="6"/>
        <v>7563.2289999999994</v>
      </c>
      <c r="P36" s="19">
        <f t="shared" si="6"/>
        <v>18200.02</v>
      </c>
      <c r="Q36" s="19">
        <f t="shared" si="6"/>
        <v>28836.810999999998</v>
      </c>
      <c r="R36" s="19">
        <v>0</v>
      </c>
      <c r="S36" s="19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4">
        <v>0</v>
      </c>
      <c r="AC36" s="42"/>
    </row>
    <row r="37" spans="1:32" ht="38.25" x14ac:dyDescent="0.2">
      <c r="A37" s="6">
        <v>343</v>
      </c>
      <c r="B37" s="9">
        <v>117</v>
      </c>
      <c r="C37" s="9">
        <v>89</v>
      </c>
      <c r="D37" s="9" t="s">
        <v>538</v>
      </c>
      <c r="E37" s="9" t="s">
        <v>539</v>
      </c>
      <c r="F37" s="9" t="s">
        <v>11</v>
      </c>
      <c r="G37" s="9" t="s">
        <v>28</v>
      </c>
      <c r="H37" s="9" t="s">
        <v>487</v>
      </c>
      <c r="I37" s="9" t="s">
        <v>18</v>
      </c>
      <c r="J37" s="9">
        <v>75</v>
      </c>
      <c r="K37" s="10">
        <v>54600.06</v>
      </c>
      <c r="L37" s="10">
        <f>0.75*K37</f>
        <v>40950.044999999998</v>
      </c>
      <c r="M37" s="10">
        <f>+K37-L37</f>
        <v>13650.014999999999</v>
      </c>
      <c r="N37" s="10"/>
      <c r="O37" s="10">
        <v>7563.2289999999994</v>
      </c>
      <c r="P37" s="10">
        <v>18200.02</v>
      </c>
      <c r="Q37" s="10">
        <v>28836.810999999998</v>
      </c>
      <c r="R37" s="10"/>
      <c r="S37" s="10"/>
      <c r="T37" s="1"/>
      <c r="U37" s="1"/>
      <c r="V37" s="1"/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2">
        <v>0</v>
      </c>
      <c r="AC37" s="39"/>
    </row>
    <row r="38" spans="1:32" ht="89.25" x14ac:dyDescent="0.2">
      <c r="A38" s="6">
        <v>344</v>
      </c>
      <c r="B38" s="8"/>
      <c r="C38" s="8">
        <v>89</v>
      </c>
      <c r="D38" s="8" t="s">
        <v>540</v>
      </c>
      <c r="E38" s="8" t="s">
        <v>541</v>
      </c>
      <c r="F38" s="8" t="s">
        <v>15</v>
      </c>
      <c r="G38" s="8"/>
      <c r="H38" s="8"/>
      <c r="I38" s="8"/>
      <c r="J38" s="8">
        <v>75</v>
      </c>
      <c r="K38" s="12">
        <v>54600.06</v>
      </c>
      <c r="L38" s="12">
        <v>40950.04</v>
      </c>
      <c r="M38" s="12">
        <v>13650.02</v>
      </c>
      <c r="N38" s="12"/>
      <c r="O38" s="12">
        <f>7378.76*1.025</f>
        <v>7563.2289999999994</v>
      </c>
      <c r="P38" s="12">
        <v>18200.02</v>
      </c>
      <c r="Q38" s="12">
        <f>+K38-O38-P38</f>
        <v>28836.810999999998</v>
      </c>
      <c r="R38" s="12"/>
      <c r="S38" s="12"/>
      <c r="T38" s="3"/>
      <c r="U38" s="3"/>
      <c r="V38" s="3"/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4">
        <v>0</v>
      </c>
      <c r="AC38" s="41">
        <v>43465</v>
      </c>
    </row>
    <row r="39" spans="1:32" ht="38.25" x14ac:dyDescent="0.2">
      <c r="A39" s="6">
        <v>345</v>
      </c>
      <c r="B39" s="18"/>
      <c r="C39" s="18"/>
      <c r="D39" s="18" t="s">
        <v>542</v>
      </c>
      <c r="E39" s="18" t="s">
        <v>543</v>
      </c>
      <c r="F39" s="18" t="s">
        <v>8</v>
      </c>
      <c r="G39" s="18"/>
      <c r="H39" s="18"/>
      <c r="I39" s="18"/>
      <c r="J39" s="18">
        <v>75</v>
      </c>
      <c r="K39" s="19">
        <f t="shared" ref="K39:P39" si="7">+K40</f>
        <v>52093.559499999996</v>
      </c>
      <c r="L39" s="19">
        <f t="shared" si="7"/>
        <v>39070.169624999995</v>
      </c>
      <c r="M39" s="19">
        <f t="shared" si="7"/>
        <v>13023.389875000001</v>
      </c>
      <c r="N39" s="19">
        <f t="shared" si="7"/>
        <v>874.93999999999994</v>
      </c>
      <c r="O39" s="19">
        <f t="shared" si="7"/>
        <v>6889.6194999999989</v>
      </c>
      <c r="P39" s="19">
        <f t="shared" si="7"/>
        <v>44329</v>
      </c>
      <c r="Q39" s="19">
        <v>0</v>
      </c>
      <c r="R39" s="19">
        <v>0</v>
      </c>
      <c r="S39" s="19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2">
        <v>0</v>
      </c>
      <c r="AC39" s="42"/>
    </row>
    <row r="40" spans="1:32" ht="38.25" x14ac:dyDescent="0.2">
      <c r="A40" s="6">
        <v>346</v>
      </c>
      <c r="B40" s="9">
        <v>118</v>
      </c>
      <c r="C40" s="9">
        <v>90</v>
      </c>
      <c r="D40" s="9" t="s">
        <v>544</v>
      </c>
      <c r="E40" s="9" t="s">
        <v>545</v>
      </c>
      <c r="F40" s="9" t="s">
        <v>11</v>
      </c>
      <c r="G40" s="9" t="s">
        <v>28</v>
      </c>
      <c r="H40" s="9" t="s">
        <v>487</v>
      </c>
      <c r="I40" s="9" t="s">
        <v>18</v>
      </c>
      <c r="J40" s="9">
        <v>75</v>
      </c>
      <c r="K40" s="10">
        <v>52093.559499999996</v>
      </c>
      <c r="L40" s="10">
        <f>0.75*K40</f>
        <v>39070.169624999995</v>
      </c>
      <c r="M40" s="10">
        <f>+K40-L40</f>
        <v>13023.389875000001</v>
      </c>
      <c r="N40" s="10">
        <v>874.93999999999994</v>
      </c>
      <c r="O40" s="10">
        <v>6889.6194999999989</v>
      </c>
      <c r="P40" s="10">
        <v>44329</v>
      </c>
      <c r="Q40" s="10"/>
      <c r="R40" s="10"/>
      <c r="S40" s="10"/>
      <c r="T40" s="3"/>
      <c r="U40" s="3"/>
      <c r="V40" s="3"/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4">
        <v>0</v>
      </c>
      <c r="AC40" s="39"/>
    </row>
    <row r="41" spans="1:32" ht="51" x14ac:dyDescent="0.2">
      <c r="A41" s="6">
        <v>347</v>
      </c>
      <c r="B41" s="22"/>
      <c r="C41" s="22">
        <v>90</v>
      </c>
      <c r="D41" s="22" t="s">
        <v>546</v>
      </c>
      <c r="E41" s="22" t="s">
        <v>547</v>
      </c>
      <c r="F41" s="22" t="s">
        <v>15</v>
      </c>
      <c r="G41" s="22"/>
      <c r="H41" s="22"/>
      <c r="I41" s="22"/>
      <c r="J41" s="22">
        <v>75</v>
      </c>
      <c r="K41" s="23">
        <f>+N41+O41+P41</f>
        <v>52093.559499999996</v>
      </c>
      <c r="L41" s="23">
        <f>0.75*K41</f>
        <v>39070.169624999995</v>
      </c>
      <c r="M41" s="23">
        <f>+K41-L41</f>
        <v>13023.389875000001</v>
      </c>
      <c r="N41" s="23">
        <f>853.6*1.025</f>
        <v>874.93999999999994</v>
      </c>
      <c r="O41" s="23">
        <f>6721.58*1.025</f>
        <v>6889.6194999999989</v>
      </c>
      <c r="P41" s="23">
        <v>44329</v>
      </c>
      <c r="Q41" s="23"/>
      <c r="R41" s="23"/>
      <c r="S41" s="23"/>
      <c r="T41" s="1"/>
      <c r="U41" s="1"/>
      <c r="V41" s="1"/>
      <c r="W41" s="1">
        <v>5428.6</v>
      </c>
      <c r="X41" s="1">
        <v>4071.45</v>
      </c>
      <c r="Y41" s="1">
        <v>9.9600000000000009</v>
      </c>
      <c r="Z41" s="1">
        <v>4071.45</v>
      </c>
      <c r="AA41" s="1">
        <v>1357.15</v>
      </c>
      <c r="AB41" s="2">
        <v>0</v>
      </c>
      <c r="AC41" s="40">
        <v>43100</v>
      </c>
      <c r="AD41" s="16" t="s">
        <v>820</v>
      </c>
    </row>
    <row r="42" spans="1:32" ht="51" x14ac:dyDescent="0.2">
      <c r="A42" s="6">
        <v>348</v>
      </c>
      <c r="B42" s="18"/>
      <c r="C42" s="18"/>
      <c r="D42" s="18" t="s">
        <v>548</v>
      </c>
      <c r="E42" s="18" t="s">
        <v>549</v>
      </c>
      <c r="F42" s="18" t="s">
        <v>8</v>
      </c>
      <c r="G42" s="18"/>
      <c r="H42" s="18"/>
      <c r="I42" s="18"/>
      <c r="J42" s="18">
        <v>75</v>
      </c>
      <c r="K42" s="19">
        <f>+K43+K45</f>
        <v>279825.21999999997</v>
      </c>
      <c r="L42" s="19">
        <f t="shared" ref="L42:S42" si="8">+L43+L45</f>
        <v>209868.91500000001</v>
      </c>
      <c r="M42" s="19">
        <f t="shared" si="8"/>
        <v>69956.304999999993</v>
      </c>
      <c r="N42" s="19">
        <f t="shared" si="8"/>
        <v>0</v>
      </c>
      <c r="O42" s="19">
        <f t="shared" si="8"/>
        <v>103879.95225</v>
      </c>
      <c r="P42" s="19">
        <f t="shared" si="8"/>
        <v>11193</v>
      </c>
      <c r="Q42" s="19">
        <f t="shared" si="8"/>
        <v>142366.26775</v>
      </c>
      <c r="R42" s="19">
        <f t="shared" si="8"/>
        <v>11193</v>
      </c>
      <c r="S42" s="19">
        <f t="shared" si="8"/>
        <v>11193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4">
        <v>0</v>
      </c>
      <c r="AC42" s="42"/>
    </row>
    <row r="43" spans="1:32" ht="25.5" x14ac:dyDescent="0.2">
      <c r="A43" s="6">
        <v>349</v>
      </c>
      <c r="B43" s="9">
        <v>119</v>
      </c>
      <c r="C43" s="9">
        <v>91</v>
      </c>
      <c r="D43" s="9" t="s">
        <v>550</v>
      </c>
      <c r="E43" s="9" t="s">
        <v>551</v>
      </c>
      <c r="F43" s="9" t="s">
        <v>11</v>
      </c>
      <c r="G43" s="9" t="s">
        <v>28</v>
      </c>
      <c r="H43" s="9" t="s">
        <v>552</v>
      </c>
      <c r="I43" s="9" t="s">
        <v>18</v>
      </c>
      <c r="J43" s="9">
        <v>75</v>
      </c>
      <c r="K43" s="10">
        <v>223860.22</v>
      </c>
      <c r="L43" s="10">
        <f>0.75*K43</f>
        <v>167895.16500000001</v>
      </c>
      <c r="M43" s="10">
        <f>+K43-L43</f>
        <v>55965.054999999993</v>
      </c>
      <c r="N43" s="10"/>
      <c r="O43" s="10">
        <v>93680.7</v>
      </c>
      <c r="P43" s="10"/>
      <c r="Q43" s="10">
        <v>130179.52</v>
      </c>
      <c r="R43" s="10"/>
      <c r="S43" s="10"/>
      <c r="T43" s="1"/>
      <c r="U43" s="1"/>
      <c r="V43" s="1"/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2">
        <v>0</v>
      </c>
      <c r="AC43" s="39"/>
    </row>
    <row r="44" spans="1:32" ht="25.5" x14ac:dyDescent="0.2">
      <c r="A44" s="6">
        <v>350</v>
      </c>
      <c r="B44" s="8"/>
      <c r="C44" s="8">
        <v>91</v>
      </c>
      <c r="D44" s="8" t="s">
        <v>553</v>
      </c>
      <c r="E44" s="8" t="s">
        <v>551</v>
      </c>
      <c r="F44" s="8" t="s">
        <v>15</v>
      </c>
      <c r="G44" s="8"/>
      <c r="H44" s="8"/>
      <c r="I44" s="8"/>
      <c r="J44" s="8">
        <v>75</v>
      </c>
      <c r="K44" s="12">
        <v>223860.22</v>
      </c>
      <c r="L44" s="12">
        <v>167895.16</v>
      </c>
      <c r="M44" s="12">
        <v>55965.06</v>
      </c>
      <c r="N44" s="12"/>
      <c r="O44" s="12">
        <v>93680.7</v>
      </c>
      <c r="P44" s="12"/>
      <c r="Q44" s="12">
        <f>+K44-O44</f>
        <v>130179.52</v>
      </c>
      <c r="R44" s="12"/>
      <c r="S44" s="12"/>
      <c r="T44" s="3"/>
      <c r="U44" s="3"/>
      <c r="V44" s="3"/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  <c r="AC44" s="41">
        <v>43465</v>
      </c>
    </row>
    <row r="45" spans="1:32" ht="51" x14ac:dyDescent="0.2">
      <c r="A45" s="6">
        <v>351</v>
      </c>
      <c r="B45" s="9">
        <v>120</v>
      </c>
      <c r="C45" s="9">
        <v>92</v>
      </c>
      <c r="D45" s="9" t="s">
        <v>554</v>
      </c>
      <c r="E45" s="9" t="s">
        <v>555</v>
      </c>
      <c r="F45" s="9" t="s">
        <v>11</v>
      </c>
      <c r="G45" s="9" t="s">
        <v>556</v>
      </c>
      <c r="H45" s="9" t="s">
        <v>552</v>
      </c>
      <c r="I45" s="9" t="s">
        <v>18</v>
      </c>
      <c r="J45" s="9">
        <v>75</v>
      </c>
      <c r="K45" s="10">
        <v>55965</v>
      </c>
      <c r="L45" s="10">
        <f>0.75*K45</f>
        <v>41973.75</v>
      </c>
      <c r="M45" s="10">
        <f>+K45-L45</f>
        <v>13991.25</v>
      </c>
      <c r="N45" s="10"/>
      <c r="O45" s="10">
        <v>10199.25225</v>
      </c>
      <c r="P45" s="10">
        <v>11193</v>
      </c>
      <c r="Q45" s="10">
        <v>12186.747750000002</v>
      </c>
      <c r="R45" s="10">
        <v>11193</v>
      </c>
      <c r="S45" s="10">
        <v>11193</v>
      </c>
      <c r="T45" s="1"/>
      <c r="U45" s="1"/>
      <c r="V45" s="1"/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  <c r="AC45" s="39"/>
    </row>
    <row r="46" spans="1:32" ht="51" x14ac:dyDescent="0.2">
      <c r="A46" s="6">
        <v>352</v>
      </c>
      <c r="B46" s="8"/>
      <c r="C46" s="8">
        <v>92</v>
      </c>
      <c r="D46" s="8" t="s">
        <v>557</v>
      </c>
      <c r="E46" s="8" t="s">
        <v>558</v>
      </c>
      <c r="F46" s="8" t="s">
        <v>15</v>
      </c>
      <c r="G46" s="8"/>
      <c r="H46" s="8"/>
      <c r="I46" s="8"/>
      <c r="J46" s="8">
        <v>75</v>
      </c>
      <c r="K46" s="12">
        <v>33579</v>
      </c>
      <c r="L46" s="12">
        <v>25184.25</v>
      </c>
      <c r="M46" s="12">
        <v>8394.75</v>
      </c>
      <c r="N46" s="12"/>
      <c r="O46" s="12">
        <f>9950.49*1.025</f>
        <v>10199.25225</v>
      </c>
      <c r="P46" s="12">
        <v>11193</v>
      </c>
      <c r="Q46" s="12">
        <f>+K46-O46-P46</f>
        <v>12186.747750000002</v>
      </c>
      <c r="R46" s="12"/>
      <c r="S46" s="12"/>
      <c r="T46" s="3"/>
      <c r="U46" s="3"/>
      <c r="V46" s="3"/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  <c r="AC46" s="41">
        <v>43465</v>
      </c>
    </row>
    <row r="47" spans="1:32" ht="26.25" customHeight="1" x14ac:dyDescent="0.2">
      <c r="A47" s="6">
        <v>353</v>
      </c>
      <c r="B47" s="25"/>
      <c r="C47" s="25"/>
      <c r="D47" s="25" t="s">
        <v>559</v>
      </c>
      <c r="E47" s="25" t="s">
        <v>560</v>
      </c>
      <c r="F47" s="25" t="s">
        <v>5</v>
      </c>
      <c r="G47" s="25"/>
      <c r="H47" s="25"/>
      <c r="I47" s="25"/>
      <c r="J47" s="25">
        <v>75</v>
      </c>
      <c r="K47" s="26">
        <f>+L47/0.75</f>
        <v>6726829.333333333</v>
      </c>
      <c r="L47" s="26">
        <f>3671788+1044928+328406</f>
        <v>5045122</v>
      </c>
      <c r="M47" s="26">
        <f>+K47-L47</f>
        <v>1681707.333333333</v>
      </c>
      <c r="N47" s="26"/>
      <c r="O47" s="26"/>
      <c r="P47" s="26"/>
      <c r="Q47" s="26"/>
      <c r="R47" s="26"/>
      <c r="S47" s="26"/>
      <c r="T47" s="1">
        <v>377087.87</v>
      </c>
      <c r="U47" s="1">
        <v>396768.84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2">
        <v>0</v>
      </c>
      <c r="AC47" s="43"/>
      <c r="AD47" s="57" t="s">
        <v>823</v>
      </c>
      <c r="AE47" s="60">
        <f>+K47-K48</f>
        <v>3837258.5338333328</v>
      </c>
      <c r="AF47" s="60">
        <f>+L47-L48</f>
        <v>2877943.9003750002</v>
      </c>
    </row>
    <row r="48" spans="1:32" x14ac:dyDescent="0.2">
      <c r="A48" s="6">
        <v>353</v>
      </c>
      <c r="B48" s="18"/>
      <c r="C48" s="18"/>
      <c r="D48" s="18" t="s">
        <v>559</v>
      </c>
      <c r="E48" s="18" t="s">
        <v>560</v>
      </c>
      <c r="F48" s="18" t="s">
        <v>5</v>
      </c>
      <c r="G48" s="18"/>
      <c r="H48" s="18"/>
      <c r="I48" s="18"/>
      <c r="J48" s="18">
        <v>75</v>
      </c>
      <c r="K48" s="19">
        <f>+K49+K56+K59+K62+K69+K72</f>
        <v>2889570.7995000002</v>
      </c>
      <c r="L48" s="19">
        <f t="shared" ref="L48:S48" si="9">+L49+L56+L59+L62+L69+L72</f>
        <v>2167178.0996249998</v>
      </c>
      <c r="M48" s="19">
        <f t="shared" si="9"/>
        <v>722392.69987500005</v>
      </c>
      <c r="N48" s="19">
        <f t="shared" si="9"/>
        <v>77489.179999999993</v>
      </c>
      <c r="O48" s="19">
        <f t="shared" si="9"/>
        <v>417724.97699999996</v>
      </c>
      <c r="P48" s="19">
        <f t="shared" si="9"/>
        <v>1211561.5525</v>
      </c>
      <c r="Q48" s="19">
        <f t="shared" si="9"/>
        <v>394265.03</v>
      </c>
      <c r="R48" s="19">
        <f t="shared" si="9"/>
        <v>394265.03</v>
      </c>
      <c r="S48" s="19">
        <f t="shared" si="9"/>
        <v>394265.03</v>
      </c>
      <c r="T48" s="1">
        <v>377087.87</v>
      </c>
      <c r="U48" s="1">
        <v>396768.84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  <c r="AC48" s="42"/>
    </row>
    <row r="49" spans="1:32" ht="38.25" x14ac:dyDescent="0.2">
      <c r="A49" s="6">
        <v>354</v>
      </c>
      <c r="B49" s="18"/>
      <c r="C49" s="18"/>
      <c r="D49" s="18" t="s">
        <v>561</v>
      </c>
      <c r="E49" s="18" t="s">
        <v>562</v>
      </c>
      <c r="F49" s="18" t="s">
        <v>8</v>
      </c>
      <c r="G49" s="18"/>
      <c r="H49" s="18"/>
      <c r="I49" s="18"/>
      <c r="J49" s="18">
        <v>75</v>
      </c>
      <c r="K49" s="19">
        <f>+K50+K52+K54</f>
        <v>1231481.0180000002</v>
      </c>
      <c r="L49" s="19">
        <f t="shared" ref="L49:S49" si="10">+L50+L52+L54</f>
        <v>923610.7635</v>
      </c>
      <c r="M49" s="19">
        <f t="shared" si="10"/>
        <v>307870.25450000004</v>
      </c>
      <c r="N49" s="19">
        <f t="shared" si="10"/>
        <v>60346.68</v>
      </c>
      <c r="O49" s="19">
        <f t="shared" si="10"/>
        <v>196339.91800000001</v>
      </c>
      <c r="P49" s="19">
        <f t="shared" si="10"/>
        <v>237994.42</v>
      </c>
      <c r="Q49" s="19">
        <f t="shared" si="10"/>
        <v>245600</v>
      </c>
      <c r="R49" s="19">
        <f t="shared" si="10"/>
        <v>245600</v>
      </c>
      <c r="S49" s="19">
        <f t="shared" si="10"/>
        <v>245600</v>
      </c>
      <c r="T49" s="3">
        <v>370262.86</v>
      </c>
      <c r="U49" s="3">
        <v>389943.83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  <c r="AC49" s="42"/>
      <c r="AD49" s="16" t="s">
        <v>825</v>
      </c>
      <c r="AE49" s="34">
        <f>1044928/0.75</f>
        <v>1393237.3333333333</v>
      </c>
      <c r="AF49" s="16" t="s">
        <v>827</v>
      </c>
    </row>
    <row r="50" spans="1:32" ht="38.25" x14ac:dyDescent="0.2">
      <c r="A50" s="6">
        <v>355</v>
      </c>
      <c r="B50" s="9">
        <v>121</v>
      </c>
      <c r="C50" s="9">
        <v>93</v>
      </c>
      <c r="D50" s="9" t="s">
        <v>563</v>
      </c>
      <c r="E50" s="9" t="s">
        <v>564</v>
      </c>
      <c r="F50" s="9" t="s">
        <v>11</v>
      </c>
      <c r="G50" s="9" t="s">
        <v>556</v>
      </c>
      <c r="H50" s="9" t="s">
        <v>487</v>
      </c>
      <c r="I50" s="9" t="s">
        <v>18</v>
      </c>
      <c r="J50" s="9">
        <v>75</v>
      </c>
      <c r="K50" s="10">
        <f>+N50+O50+P50+Q50+R50+S50</f>
        <v>1029307.56</v>
      </c>
      <c r="L50" s="10">
        <f t="shared" ref="L50:L55" si="11">0.75*K50</f>
        <v>771980.67</v>
      </c>
      <c r="M50" s="10">
        <f t="shared" ref="M50:M55" si="12">+K50-L50</f>
        <v>257326.89</v>
      </c>
      <c r="N50" s="10">
        <v>58959.01</v>
      </c>
      <c r="O50" s="10">
        <v>177764.13</v>
      </c>
      <c r="P50" s="10">
        <v>192584.42</v>
      </c>
      <c r="Q50" s="10">
        <v>200000</v>
      </c>
      <c r="R50" s="10">
        <v>200000</v>
      </c>
      <c r="S50" s="10">
        <v>200000</v>
      </c>
      <c r="T50" s="1">
        <v>251842.75</v>
      </c>
      <c r="U50" s="1">
        <v>251842.75</v>
      </c>
      <c r="V50" s="1"/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2">
        <v>0</v>
      </c>
      <c r="AC50" s="39"/>
      <c r="AD50" s="16" t="s">
        <v>826</v>
      </c>
      <c r="AE50" s="34">
        <f>328406/0.75</f>
        <v>437874.66666666669</v>
      </c>
      <c r="AF50" s="16" t="s">
        <v>827</v>
      </c>
    </row>
    <row r="51" spans="1:32" ht="63.75" x14ac:dyDescent="0.2">
      <c r="A51" s="6">
        <v>356</v>
      </c>
      <c r="B51" s="8"/>
      <c r="C51" s="8">
        <v>93</v>
      </c>
      <c r="D51" s="8" t="s">
        <v>565</v>
      </c>
      <c r="E51" s="8" t="s">
        <v>566</v>
      </c>
      <c r="F51" s="8" t="s">
        <v>15</v>
      </c>
      <c r="G51" s="8"/>
      <c r="H51" s="8"/>
      <c r="I51" s="8"/>
      <c r="J51" s="8">
        <v>75</v>
      </c>
      <c r="K51" s="12">
        <f>+N51+O51+P51</f>
        <v>396248.52575000003</v>
      </c>
      <c r="L51" s="12">
        <f t="shared" si="11"/>
        <v>297186.39431250002</v>
      </c>
      <c r="M51" s="12">
        <f t="shared" si="12"/>
        <v>99062.131437500007</v>
      </c>
      <c r="N51" s="12">
        <v>8335.77</v>
      </c>
      <c r="O51" s="12">
        <f>190564.23*1.025</f>
        <v>195328.33575</v>
      </c>
      <c r="P51" s="12">
        <v>192584.42</v>
      </c>
      <c r="Q51" s="12"/>
      <c r="R51" s="12"/>
      <c r="S51" s="12"/>
      <c r="T51" s="3"/>
      <c r="U51" s="3"/>
      <c r="V51" s="3"/>
      <c r="W51" s="3">
        <v>60424.52</v>
      </c>
      <c r="X51" s="3">
        <v>45318.38</v>
      </c>
      <c r="Y51" s="3">
        <v>14.07</v>
      </c>
      <c r="Z51" s="3">
        <v>45318.38</v>
      </c>
      <c r="AA51" s="3">
        <v>15106.14</v>
      </c>
      <c r="AB51" s="4">
        <v>0</v>
      </c>
      <c r="AC51" s="41">
        <v>43100</v>
      </c>
      <c r="AD51" s="16" t="s">
        <v>820</v>
      </c>
    </row>
    <row r="52" spans="1:32" ht="51" x14ac:dyDescent="0.2">
      <c r="A52" s="6">
        <v>357</v>
      </c>
      <c r="B52" s="9">
        <v>122</v>
      </c>
      <c r="C52" s="9">
        <v>94</v>
      </c>
      <c r="D52" s="9" t="s">
        <v>567</v>
      </c>
      <c r="E52" s="9" t="s">
        <v>568</v>
      </c>
      <c r="F52" s="9" t="s">
        <v>11</v>
      </c>
      <c r="G52" s="9" t="s">
        <v>556</v>
      </c>
      <c r="H52" s="9" t="s">
        <v>487</v>
      </c>
      <c r="I52" s="9" t="s">
        <v>18</v>
      </c>
      <c r="J52" s="9">
        <v>75</v>
      </c>
      <c r="K52" s="10">
        <f>+N52+O52+P52+Q52+R52+S52</f>
        <v>139773.45799999998</v>
      </c>
      <c r="L52" s="10">
        <f t="shared" si="11"/>
        <v>104830.09349999999</v>
      </c>
      <c r="M52" s="10">
        <f t="shared" si="12"/>
        <v>34943.364499999996</v>
      </c>
      <c r="N52" s="10">
        <v>1387.67</v>
      </c>
      <c r="O52" s="10">
        <v>18575.788</v>
      </c>
      <c r="P52" s="36">
        <v>29810</v>
      </c>
      <c r="Q52" s="10">
        <v>30000</v>
      </c>
      <c r="R52" s="10">
        <v>30000</v>
      </c>
      <c r="S52" s="10">
        <v>30000</v>
      </c>
      <c r="T52" s="1">
        <v>102820.09</v>
      </c>
      <c r="U52" s="1">
        <v>92820.09</v>
      </c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  <c r="AC52" s="39"/>
    </row>
    <row r="53" spans="1:32" ht="153" x14ac:dyDescent="0.2">
      <c r="A53" s="6">
        <v>358</v>
      </c>
      <c r="B53" s="8"/>
      <c r="C53" s="8">
        <v>94</v>
      </c>
      <c r="D53" s="8" t="s">
        <v>569</v>
      </c>
      <c r="E53" s="8" t="s">
        <v>570</v>
      </c>
      <c r="F53" s="8" t="s">
        <v>15</v>
      </c>
      <c r="G53" s="8"/>
      <c r="H53" s="8"/>
      <c r="I53" s="8"/>
      <c r="J53" s="8">
        <v>75</v>
      </c>
      <c r="K53" s="12">
        <f>+N53+O53+P53</f>
        <v>49773.457999999999</v>
      </c>
      <c r="L53" s="12">
        <f t="shared" si="11"/>
        <v>37330.093500000003</v>
      </c>
      <c r="M53" s="12">
        <f t="shared" si="12"/>
        <v>12443.364499999996</v>
      </c>
      <c r="N53" s="12">
        <v>1387.67</v>
      </c>
      <c r="O53" s="12">
        <f>18122.72*1.025</f>
        <v>18575.788</v>
      </c>
      <c r="P53" s="44">
        <v>29810</v>
      </c>
      <c r="Q53" s="12"/>
      <c r="R53" s="12"/>
      <c r="S53" s="12"/>
      <c r="T53" s="3"/>
      <c r="U53" s="3"/>
      <c r="V53" s="3"/>
      <c r="W53" s="3">
        <v>1378.67</v>
      </c>
      <c r="X53" s="3">
        <v>1033.99</v>
      </c>
      <c r="Y53" s="3">
        <v>0.71</v>
      </c>
      <c r="Z53" s="3">
        <v>1033.99</v>
      </c>
      <c r="AA53" s="3">
        <v>344.68</v>
      </c>
      <c r="AB53" s="4">
        <v>0</v>
      </c>
      <c r="AC53" s="41">
        <v>43100</v>
      </c>
      <c r="AD53" s="16" t="s">
        <v>820</v>
      </c>
    </row>
    <row r="54" spans="1:32" ht="51" x14ac:dyDescent="0.2">
      <c r="A54" s="6">
        <v>359</v>
      </c>
      <c r="B54" s="45">
        <v>123</v>
      </c>
      <c r="C54" s="45">
        <v>95</v>
      </c>
      <c r="D54" s="45" t="s">
        <v>571</v>
      </c>
      <c r="E54" s="45" t="s">
        <v>572</v>
      </c>
      <c r="F54" s="45" t="s">
        <v>11</v>
      </c>
      <c r="G54" s="45" t="s">
        <v>556</v>
      </c>
      <c r="H54" s="45" t="s">
        <v>487</v>
      </c>
      <c r="I54" s="48" t="s">
        <v>18</v>
      </c>
      <c r="J54" s="45">
        <v>75</v>
      </c>
      <c r="K54" s="36">
        <f>+P54+Q54+R54+S54</f>
        <v>62400</v>
      </c>
      <c r="L54" s="10">
        <f t="shared" si="11"/>
        <v>46800</v>
      </c>
      <c r="M54" s="10">
        <f t="shared" si="12"/>
        <v>15600</v>
      </c>
      <c r="N54" s="36"/>
      <c r="O54" s="36"/>
      <c r="P54" s="36">
        <v>15600</v>
      </c>
      <c r="Q54" s="36">
        <v>15600</v>
      </c>
      <c r="R54" s="36">
        <v>15600</v>
      </c>
      <c r="S54" s="36">
        <v>15600</v>
      </c>
      <c r="T54" s="49">
        <v>15600.02</v>
      </c>
      <c r="U54" s="49">
        <v>15600.02</v>
      </c>
      <c r="V54" s="49"/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50">
        <v>0</v>
      </c>
      <c r="AC54" s="51"/>
    </row>
    <row r="55" spans="1:32" ht="51" x14ac:dyDescent="0.2">
      <c r="A55" s="6">
        <v>360</v>
      </c>
      <c r="B55" s="46"/>
      <c r="C55" s="46">
        <v>95</v>
      </c>
      <c r="D55" s="46" t="s">
        <v>573</v>
      </c>
      <c r="E55" s="46" t="s">
        <v>574</v>
      </c>
      <c r="F55" s="46" t="s">
        <v>15</v>
      </c>
      <c r="G55" s="46"/>
      <c r="H55" s="46"/>
      <c r="I55" s="52"/>
      <c r="J55" s="46">
        <v>75</v>
      </c>
      <c r="K55" s="44">
        <f>+P55+Q55</f>
        <v>31200</v>
      </c>
      <c r="L55" s="44">
        <f t="shared" si="11"/>
        <v>23400</v>
      </c>
      <c r="M55" s="44">
        <f t="shared" si="12"/>
        <v>7800</v>
      </c>
      <c r="N55" s="44"/>
      <c r="O55" s="44"/>
      <c r="P55" s="44">
        <v>15600</v>
      </c>
      <c r="Q55" s="44">
        <v>15600</v>
      </c>
      <c r="R55" s="35"/>
      <c r="S55" s="35"/>
      <c r="T55" s="53"/>
      <c r="U55" s="53"/>
      <c r="V55" s="53"/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4">
        <v>0</v>
      </c>
      <c r="AC55" s="47">
        <v>43465</v>
      </c>
      <c r="AD55" s="16" t="s">
        <v>820</v>
      </c>
    </row>
    <row r="56" spans="1:32" ht="25.5" x14ac:dyDescent="0.2">
      <c r="A56" s="6">
        <v>362</v>
      </c>
      <c r="B56" s="18"/>
      <c r="C56" s="18"/>
      <c r="D56" s="18" t="s">
        <v>575</v>
      </c>
      <c r="E56" s="18" t="s">
        <v>576</v>
      </c>
      <c r="F56" s="18" t="s">
        <v>8</v>
      </c>
      <c r="G56" s="18"/>
      <c r="H56" s="18"/>
      <c r="I56" s="18"/>
      <c r="J56" s="18">
        <v>75</v>
      </c>
      <c r="K56" s="19">
        <f>+K57</f>
        <v>600000</v>
      </c>
      <c r="L56" s="19">
        <f t="shared" ref="L56:S56" si="13">+L57</f>
        <v>450000</v>
      </c>
      <c r="M56" s="19">
        <f t="shared" si="13"/>
        <v>150000</v>
      </c>
      <c r="N56" s="19">
        <f t="shared" si="13"/>
        <v>0</v>
      </c>
      <c r="O56" s="19">
        <f t="shared" si="13"/>
        <v>120000</v>
      </c>
      <c r="P56" s="19">
        <f t="shared" si="13"/>
        <v>120000</v>
      </c>
      <c r="Q56" s="19">
        <f t="shared" si="13"/>
        <v>120000</v>
      </c>
      <c r="R56" s="19">
        <f t="shared" si="13"/>
        <v>120000</v>
      </c>
      <c r="S56" s="19">
        <f t="shared" si="13"/>
        <v>120000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4">
        <v>0</v>
      </c>
      <c r="AC56" s="42"/>
    </row>
    <row r="57" spans="1:32" ht="38.25" x14ac:dyDescent="0.2">
      <c r="A57" s="6">
        <v>363</v>
      </c>
      <c r="B57" s="9">
        <v>124</v>
      </c>
      <c r="C57" s="9">
        <v>96</v>
      </c>
      <c r="D57" s="9" t="s">
        <v>577</v>
      </c>
      <c r="E57" s="9" t="s">
        <v>578</v>
      </c>
      <c r="F57" s="9" t="s">
        <v>11</v>
      </c>
      <c r="G57" s="9" t="s">
        <v>36</v>
      </c>
      <c r="H57" s="9" t="s">
        <v>487</v>
      </c>
      <c r="I57" s="9" t="s">
        <v>18</v>
      </c>
      <c r="J57" s="9">
        <v>75</v>
      </c>
      <c r="K57" s="10">
        <v>600000</v>
      </c>
      <c r="L57" s="10">
        <f>0.75*K57</f>
        <v>450000</v>
      </c>
      <c r="M57" s="10">
        <f>+K57-L57</f>
        <v>150000</v>
      </c>
      <c r="N57" s="10"/>
      <c r="O57" s="10">
        <v>120000</v>
      </c>
      <c r="P57" s="10">
        <v>120000</v>
      </c>
      <c r="Q57" s="10">
        <v>120000</v>
      </c>
      <c r="R57" s="10">
        <v>120000</v>
      </c>
      <c r="S57" s="10">
        <v>120000</v>
      </c>
      <c r="T57" s="1"/>
      <c r="U57" s="1"/>
      <c r="V57" s="1"/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2">
        <v>0</v>
      </c>
      <c r="AC57" s="39"/>
    </row>
    <row r="58" spans="1:32" ht="25.5" x14ac:dyDescent="0.2">
      <c r="A58" s="6">
        <v>364</v>
      </c>
      <c r="B58" s="8"/>
      <c r="C58" s="8">
        <v>96</v>
      </c>
      <c r="D58" s="8" t="s">
        <v>579</v>
      </c>
      <c r="E58" s="8" t="s">
        <v>578</v>
      </c>
      <c r="F58" s="8" t="s">
        <v>15</v>
      </c>
      <c r="G58" s="8"/>
      <c r="H58" s="8"/>
      <c r="I58" s="8"/>
      <c r="J58" s="8">
        <v>75</v>
      </c>
      <c r="K58" s="12">
        <v>360000</v>
      </c>
      <c r="L58" s="12">
        <v>270000</v>
      </c>
      <c r="M58" s="12">
        <v>90000</v>
      </c>
      <c r="N58" s="12"/>
      <c r="O58" s="44">
        <v>120000</v>
      </c>
      <c r="P58" s="12">
        <v>120000</v>
      </c>
      <c r="Q58" s="12">
        <v>120000</v>
      </c>
      <c r="R58" s="12"/>
      <c r="S58" s="12"/>
      <c r="T58" s="3"/>
      <c r="U58" s="3"/>
      <c r="V58" s="3"/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4">
        <v>0</v>
      </c>
      <c r="AC58" s="41">
        <v>43465</v>
      </c>
    </row>
    <row r="59" spans="1:32" ht="51" x14ac:dyDescent="0.2">
      <c r="A59" s="6">
        <v>365</v>
      </c>
      <c r="B59" s="18"/>
      <c r="C59" s="18"/>
      <c r="D59" s="18" t="s">
        <v>580</v>
      </c>
      <c r="E59" s="18" t="s">
        <v>581</v>
      </c>
      <c r="F59" s="18" t="s">
        <v>8</v>
      </c>
      <c r="G59" s="18"/>
      <c r="H59" s="18"/>
      <c r="I59" s="18"/>
      <c r="J59" s="18">
        <v>75</v>
      </c>
      <c r="K59" s="19">
        <f>+K60</f>
        <v>54600</v>
      </c>
      <c r="L59" s="19">
        <f t="shared" ref="L59:S59" si="14">+L60</f>
        <v>40950</v>
      </c>
      <c r="M59" s="19">
        <f t="shared" si="14"/>
        <v>13650</v>
      </c>
      <c r="N59" s="19">
        <f t="shared" si="14"/>
        <v>6222.49</v>
      </c>
      <c r="O59" s="19">
        <f t="shared" si="14"/>
        <v>23826.9</v>
      </c>
      <c r="P59" s="19">
        <f t="shared" si="14"/>
        <v>24550.61</v>
      </c>
      <c r="Q59" s="19">
        <f t="shared" si="14"/>
        <v>0</v>
      </c>
      <c r="R59" s="19">
        <f t="shared" si="14"/>
        <v>0</v>
      </c>
      <c r="S59" s="19">
        <f t="shared" si="14"/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2">
        <v>0</v>
      </c>
      <c r="AC59" s="42"/>
    </row>
    <row r="60" spans="1:32" ht="38.25" x14ac:dyDescent="0.2">
      <c r="A60" s="6">
        <v>366</v>
      </c>
      <c r="B60" s="9">
        <v>125</v>
      </c>
      <c r="C60" s="9">
        <v>97</v>
      </c>
      <c r="D60" s="9" t="s">
        <v>582</v>
      </c>
      <c r="E60" s="9" t="s">
        <v>583</v>
      </c>
      <c r="F60" s="9" t="s">
        <v>11</v>
      </c>
      <c r="G60" s="9" t="s">
        <v>36</v>
      </c>
      <c r="H60" s="9" t="s">
        <v>284</v>
      </c>
      <c r="I60" s="9" t="s">
        <v>18</v>
      </c>
      <c r="J60" s="9">
        <v>75</v>
      </c>
      <c r="K60" s="10">
        <v>54600</v>
      </c>
      <c r="L60" s="10">
        <f>0.75*K60</f>
        <v>40950</v>
      </c>
      <c r="M60" s="10">
        <f>+K60-L60</f>
        <v>13650</v>
      </c>
      <c r="N60" s="10">
        <v>6222.49</v>
      </c>
      <c r="O60" s="10">
        <v>23826.9</v>
      </c>
      <c r="P60" s="36">
        <v>24550.61</v>
      </c>
      <c r="Q60" s="10"/>
      <c r="R60" s="10"/>
      <c r="S60" s="10"/>
      <c r="T60" s="3"/>
      <c r="U60" s="3"/>
      <c r="V60" s="3"/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4">
        <v>0</v>
      </c>
      <c r="AC60" s="39"/>
    </row>
    <row r="61" spans="1:32" ht="51" x14ac:dyDescent="0.2">
      <c r="A61" s="6">
        <v>367</v>
      </c>
      <c r="B61" s="14"/>
      <c r="C61" s="14">
        <v>97</v>
      </c>
      <c r="D61" s="14" t="s">
        <v>584</v>
      </c>
      <c r="E61" s="14" t="s">
        <v>585</v>
      </c>
      <c r="F61" s="14" t="s">
        <v>15</v>
      </c>
      <c r="G61" s="14"/>
      <c r="H61" s="14"/>
      <c r="I61" s="14"/>
      <c r="J61" s="14">
        <v>75</v>
      </c>
      <c r="K61" s="15">
        <v>54600</v>
      </c>
      <c r="L61" s="15">
        <v>40950</v>
      </c>
      <c r="M61" s="15">
        <v>13650</v>
      </c>
      <c r="N61" s="15">
        <v>6222.49</v>
      </c>
      <c r="O61" s="15">
        <v>23826.9</v>
      </c>
      <c r="P61" s="56">
        <f>+K61-N61-O61</f>
        <v>24550.61</v>
      </c>
      <c r="Q61" s="15"/>
      <c r="R61" s="15"/>
      <c r="S61" s="15"/>
      <c r="T61" s="1"/>
      <c r="U61" s="1"/>
      <c r="V61" s="1"/>
      <c r="W61" s="1">
        <v>29897.62</v>
      </c>
      <c r="X61" s="1">
        <v>22423.200000000001</v>
      </c>
      <c r="Y61" s="1">
        <v>54.76</v>
      </c>
      <c r="Z61" s="1">
        <v>22423.200000000001</v>
      </c>
      <c r="AA61" s="1">
        <v>7474.42</v>
      </c>
      <c r="AB61" s="2">
        <v>0</v>
      </c>
      <c r="AC61" s="38">
        <v>43100</v>
      </c>
    </row>
    <row r="62" spans="1:32" ht="51" x14ac:dyDescent="0.2">
      <c r="A62" s="6">
        <v>368</v>
      </c>
      <c r="B62" s="18"/>
      <c r="C62" s="18"/>
      <c r="D62" s="18" t="s">
        <v>586</v>
      </c>
      <c r="E62" s="18" t="s">
        <v>587</v>
      </c>
      <c r="F62" s="18" t="s">
        <v>8</v>
      </c>
      <c r="G62" s="18"/>
      <c r="H62" s="18"/>
      <c r="I62" s="18"/>
      <c r="J62" s="18">
        <v>75</v>
      </c>
      <c r="K62" s="19">
        <f>+K63+K65+K67</f>
        <v>840906.19149999996</v>
      </c>
      <c r="L62" s="19">
        <f t="shared" ref="L62:S62" si="15">+L63+L65+L67</f>
        <v>630679.64362500003</v>
      </c>
      <c r="M62" s="19">
        <f t="shared" si="15"/>
        <v>210226.54787499999</v>
      </c>
      <c r="N62" s="19">
        <f t="shared" si="15"/>
        <v>0</v>
      </c>
      <c r="O62" s="19">
        <f t="shared" si="15"/>
        <v>40554.698999999993</v>
      </c>
      <c r="P62" s="19">
        <f t="shared" si="15"/>
        <v>800351.49249999993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4">
        <v>0</v>
      </c>
      <c r="AC62" s="42"/>
    </row>
    <row r="63" spans="1:32" ht="25.5" x14ac:dyDescent="0.2">
      <c r="A63" s="6">
        <v>369</v>
      </c>
      <c r="B63" s="9">
        <v>126</v>
      </c>
      <c r="C63" s="9">
        <v>98</v>
      </c>
      <c r="D63" s="9" t="s">
        <v>588</v>
      </c>
      <c r="E63" s="9" t="s">
        <v>589</v>
      </c>
      <c r="F63" s="9" t="s">
        <v>11</v>
      </c>
      <c r="G63" s="9" t="s">
        <v>36</v>
      </c>
      <c r="H63" s="9" t="s">
        <v>284</v>
      </c>
      <c r="I63" s="9" t="s">
        <v>18</v>
      </c>
      <c r="J63" s="9">
        <v>75</v>
      </c>
      <c r="K63" s="10">
        <v>99754.698999999993</v>
      </c>
      <c r="L63" s="10">
        <f>0.75*K63</f>
        <v>74816.024249999988</v>
      </c>
      <c r="M63" s="10">
        <f>+K63-L63</f>
        <v>24938.674750000006</v>
      </c>
      <c r="N63" s="10"/>
      <c r="O63" s="10">
        <v>40554.698999999993</v>
      </c>
      <c r="P63" s="36">
        <v>59200</v>
      </c>
      <c r="Q63" s="10"/>
      <c r="R63" s="10"/>
      <c r="S63" s="10"/>
      <c r="T63" s="1"/>
      <c r="U63" s="1"/>
      <c r="V63" s="1"/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2">
        <v>0</v>
      </c>
      <c r="AC63" s="39"/>
    </row>
    <row r="64" spans="1:32" ht="25.5" x14ac:dyDescent="0.2">
      <c r="A64" s="6">
        <v>370</v>
      </c>
      <c r="B64" s="8"/>
      <c r="C64" s="8">
        <v>98</v>
      </c>
      <c r="D64" s="8" t="s">
        <v>590</v>
      </c>
      <c r="E64" s="8" t="s">
        <v>591</v>
      </c>
      <c r="F64" s="8" t="s">
        <v>15</v>
      </c>
      <c r="G64" s="8"/>
      <c r="H64" s="8"/>
      <c r="I64" s="8"/>
      <c r="J64" s="8">
        <v>75</v>
      </c>
      <c r="K64" s="12">
        <f>+O64+P64</f>
        <v>99754.698999999993</v>
      </c>
      <c r="L64" s="12">
        <f>0.75*K64</f>
        <v>74816.024249999988</v>
      </c>
      <c r="M64" s="12">
        <f>+K64-L64</f>
        <v>24938.674750000006</v>
      </c>
      <c r="N64" s="12"/>
      <c r="O64" s="12">
        <f>39565.56*1.025</f>
        <v>40554.698999999993</v>
      </c>
      <c r="P64" s="44">
        <v>59200</v>
      </c>
      <c r="Q64" s="12"/>
      <c r="R64" s="12"/>
      <c r="S64" s="12"/>
      <c r="T64" s="3"/>
      <c r="U64" s="3"/>
      <c r="V64" s="3"/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4">
        <v>0</v>
      </c>
      <c r="AC64" s="55">
        <v>42735</v>
      </c>
      <c r="AD64" s="16" t="s">
        <v>820</v>
      </c>
    </row>
    <row r="65" spans="1:32" ht="38.25" x14ac:dyDescent="0.2">
      <c r="A65" s="6">
        <v>371</v>
      </c>
      <c r="B65" s="9">
        <v>127</v>
      </c>
      <c r="C65" s="9">
        <v>99</v>
      </c>
      <c r="D65" s="9" t="s">
        <v>592</v>
      </c>
      <c r="E65" s="9" t="s">
        <v>593</v>
      </c>
      <c r="F65" s="9" t="s">
        <v>11</v>
      </c>
      <c r="G65" s="9" t="s">
        <v>36</v>
      </c>
      <c r="H65" s="9" t="s">
        <v>284</v>
      </c>
      <c r="I65" s="9" t="s">
        <v>18</v>
      </c>
      <c r="J65" s="9">
        <v>75</v>
      </c>
      <c r="K65" s="10">
        <v>468151.22249999997</v>
      </c>
      <c r="L65" s="10">
        <f>0.75*K65</f>
        <v>351113.416875</v>
      </c>
      <c r="M65" s="10">
        <f>+K65-L65</f>
        <v>117037.80562499998</v>
      </c>
      <c r="N65" s="10"/>
      <c r="O65" s="10"/>
      <c r="P65" s="36">
        <v>468151.22249999997</v>
      </c>
      <c r="Q65" s="10"/>
      <c r="R65" s="10"/>
      <c r="S65" s="10"/>
      <c r="T65" s="1"/>
      <c r="U65" s="1"/>
      <c r="V65" s="1"/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2">
        <v>0</v>
      </c>
      <c r="AC65" s="39"/>
    </row>
    <row r="66" spans="1:32" ht="38.25" x14ac:dyDescent="0.2">
      <c r="A66" s="6">
        <v>372</v>
      </c>
      <c r="B66" s="8"/>
      <c r="C66" s="8">
        <v>99</v>
      </c>
      <c r="D66" s="8" t="s">
        <v>594</v>
      </c>
      <c r="E66" s="8" t="s">
        <v>593</v>
      </c>
      <c r="F66" s="8" t="s">
        <v>15</v>
      </c>
      <c r="G66" s="8"/>
      <c r="H66" s="8"/>
      <c r="I66" s="8"/>
      <c r="J66" s="8">
        <v>75</v>
      </c>
      <c r="K66" s="12">
        <f>+P66</f>
        <v>468151.22249999997</v>
      </c>
      <c r="L66" s="12">
        <f>0.75*K66</f>
        <v>351113.416875</v>
      </c>
      <c r="M66" s="12">
        <f>+K66-L66</f>
        <v>117037.80562499998</v>
      </c>
      <c r="N66" s="12"/>
      <c r="O66" s="12"/>
      <c r="P66" s="44">
        <f>456732.9*1.025</f>
        <v>468151.22249999997</v>
      </c>
      <c r="Q66" s="12"/>
      <c r="R66" s="12"/>
      <c r="S66" s="12"/>
      <c r="T66" s="3"/>
      <c r="U66" s="3"/>
      <c r="V66" s="3"/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4">
        <v>0</v>
      </c>
      <c r="AC66" s="41">
        <v>43100</v>
      </c>
    </row>
    <row r="67" spans="1:32" ht="25.5" x14ac:dyDescent="0.2">
      <c r="A67" s="6">
        <v>373</v>
      </c>
      <c r="B67" s="9">
        <v>128</v>
      </c>
      <c r="C67" s="9">
        <v>100</v>
      </c>
      <c r="D67" s="9" t="s">
        <v>595</v>
      </c>
      <c r="E67" s="9" t="s">
        <v>596</v>
      </c>
      <c r="F67" s="9" t="s">
        <v>11</v>
      </c>
      <c r="G67" s="9" t="s">
        <v>36</v>
      </c>
      <c r="H67" s="9" t="s">
        <v>284</v>
      </c>
      <c r="I67" s="9" t="s">
        <v>18</v>
      </c>
      <c r="J67" s="9">
        <v>75</v>
      </c>
      <c r="K67" s="10">
        <v>273000.27</v>
      </c>
      <c r="L67" s="10">
        <f>0.75*K67</f>
        <v>204750.20250000001</v>
      </c>
      <c r="M67" s="10">
        <f>+K67-L67</f>
        <v>68250.067500000005</v>
      </c>
      <c r="N67" s="10"/>
      <c r="O67" s="10"/>
      <c r="P67" s="36">
        <v>273000.27</v>
      </c>
      <c r="Q67" s="10"/>
      <c r="R67" s="10"/>
      <c r="S67" s="10"/>
      <c r="T67" s="1"/>
      <c r="U67" s="1"/>
      <c r="V67" s="1"/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2">
        <v>0</v>
      </c>
      <c r="AC67" s="39"/>
    </row>
    <row r="68" spans="1:32" ht="25.5" x14ac:dyDescent="0.2">
      <c r="A68" s="6">
        <v>374</v>
      </c>
      <c r="B68" s="8"/>
      <c r="C68" s="8">
        <v>100</v>
      </c>
      <c r="D68" s="8" t="s">
        <v>597</v>
      </c>
      <c r="E68" s="8" t="s">
        <v>598</v>
      </c>
      <c r="F68" s="8" t="s">
        <v>15</v>
      </c>
      <c r="G68" s="8"/>
      <c r="H68" s="8"/>
      <c r="I68" s="8"/>
      <c r="J68" s="8">
        <v>75</v>
      </c>
      <c r="K68" s="12">
        <v>273000.27</v>
      </c>
      <c r="L68" s="12">
        <v>204750.2</v>
      </c>
      <c r="M68" s="12">
        <v>68250.070000000007</v>
      </c>
      <c r="N68" s="12"/>
      <c r="O68" s="12"/>
      <c r="P68" s="12">
        <v>273000.27</v>
      </c>
      <c r="Q68" s="12"/>
      <c r="R68" s="12"/>
      <c r="S68" s="12"/>
      <c r="T68" s="3"/>
      <c r="U68" s="3"/>
      <c r="V68" s="3"/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4">
        <v>0</v>
      </c>
      <c r="AC68" s="41">
        <v>43054</v>
      </c>
    </row>
    <row r="69" spans="1:32" ht="51" x14ac:dyDescent="0.2">
      <c r="A69" s="6">
        <v>375</v>
      </c>
      <c r="B69" s="18"/>
      <c r="C69" s="18"/>
      <c r="D69" s="18" t="s">
        <v>599</v>
      </c>
      <c r="E69" s="18" t="s">
        <v>600</v>
      </c>
      <c r="F69" s="18" t="s">
        <v>8</v>
      </c>
      <c r="G69" s="18"/>
      <c r="H69" s="18"/>
      <c r="I69" s="18"/>
      <c r="J69" s="18">
        <v>75</v>
      </c>
      <c r="K69" s="19">
        <f>+K70</f>
        <v>31543.47</v>
      </c>
      <c r="L69" s="19">
        <f t="shared" ref="L69:S69" si="16">+L70</f>
        <v>23657.602500000001</v>
      </c>
      <c r="M69" s="19">
        <f t="shared" si="16"/>
        <v>7885.8675000000003</v>
      </c>
      <c r="N69" s="19">
        <f t="shared" si="16"/>
        <v>0</v>
      </c>
      <c r="O69" s="19">
        <f t="shared" si="16"/>
        <v>4243.43</v>
      </c>
      <c r="P69" s="19">
        <f t="shared" si="16"/>
        <v>6825.01</v>
      </c>
      <c r="Q69" s="19">
        <f t="shared" si="16"/>
        <v>6825.01</v>
      </c>
      <c r="R69" s="19">
        <f t="shared" si="16"/>
        <v>6825.01</v>
      </c>
      <c r="S69" s="19">
        <f t="shared" si="16"/>
        <v>6825.01</v>
      </c>
      <c r="T69" s="1">
        <v>6825.01</v>
      </c>
      <c r="U69" s="1">
        <v>6825.01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2">
        <v>0</v>
      </c>
      <c r="AC69" s="42"/>
    </row>
    <row r="70" spans="1:32" ht="38.25" x14ac:dyDescent="0.2">
      <c r="A70" s="6">
        <v>376</v>
      </c>
      <c r="B70" s="9">
        <v>129</v>
      </c>
      <c r="C70" s="9">
        <v>101</v>
      </c>
      <c r="D70" s="9" t="s">
        <v>601</v>
      </c>
      <c r="E70" s="9" t="s">
        <v>602</v>
      </c>
      <c r="F70" s="9" t="s">
        <v>11</v>
      </c>
      <c r="G70" s="9" t="s">
        <v>184</v>
      </c>
      <c r="H70" s="9" t="s">
        <v>487</v>
      </c>
      <c r="I70" s="9" t="s">
        <v>18</v>
      </c>
      <c r="J70" s="9">
        <v>75</v>
      </c>
      <c r="K70" s="10">
        <f>+O70+P70+Q70+R70+S70</f>
        <v>31543.47</v>
      </c>
      <c r="L70" s="10">
        <f>0.75*K70</f>
        <v>23657.602500000001</v>
      </c>
      <c r="M70" s="10">
        <f>+K70-L70</f>
        <v>7885.8675000000003</v>
      </c>
      <c r="N70" s="10"/>
      <c r="O70" s="10">
        <f>+O71</f>
        <v>4243.43</v>
      </c>
      <c r="P70" s="10">
        <f>+P71</f>
        <v>6825.01</v>
      </c>
      <c r="Q70" s="10">
        <v>6825.01</v>
      </c>
      <c r="R70" s="10">
        <v>6825.01</v>
      </c>
      <c r="S70" s="10">
        <v>6825.01</v>
      </c>
      <c r="T70" s="3">
        <v>6825.01</v>
      </c>
      <c r="U70" s="3">
        <v>6825.01</v>
      </c>
      <c r="V70" s="3"/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4">
        <v>0</v>
      </c>
      <c r="AC70" s="39"/>
    </row>
    <row r="71" spans="1:32" ht="51" x14ac:dyDescent="0.2">
      <c r="A71" s="6">
        <v>377</v>
      </c>
      <c r="B71" s="14"/>
      <c r="C71" s="14">
        <v>101</v>
      </c>
      <c r="D71" s="14" t="s">
        <v>603</v>
      </c>
      <c r="E71" s="14" t="s">
        <v>604</v>
      </c>
      <c r="F71" s="14" t="s">
        <v>15</v>
      </c>
      <c r="G71" s="14"/>
      <c r="H71" s="14"/>
      <c r="I71" s="14"/>
      <c r="J71" s="14">
        <v>75</v>
      </c>
      <c r="K71" s="15">
        <f>+O71+P71</f>
        <v>11068.44</v>
      </c>
      <c r="L71" s="15">
        <f>0.75*K71</f>
        <v>8301.33</v>
      </c>
      <c r="M71" s="15">
        <f>+K71-L71</f>
        <v>2767.1100000000006</v>
      </c>
      <c r="N71" s="15"/>
      <c r="O71" s="15">
        <v>4243.43</v>
      </c>
      <c r="P71" s="15">
        <v>6825.01</v>
      </c>
      <c r="Q71" s="15"/>
      <c r="R71" s="15"/>
      <c r="S71" s="15"/>
      <c r="T71" s="1"/>
      <c r="U71" s="1"/>
      <c r="V71" s="1"/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2">
        <v>0</v>
      </c>
      <c r="AC71" s="38">
        <v>43100</v>
      </c>
      <c r="AD71" s="16" t="s">
        <v>820</v>
      </c>
    </row>
    <row r="72" spans="1:32" ht="38.25" x14ac:dyDescent="0.2">
      <c r="A72" s="6">
        <v>378</v>
      </c>
      <c r="B72" s="18"/>
      <c r="C72" s="18"/>
      <c r="D72" s="18" t="s">
        <v>605</v>
      </c>
      <c r="E72" s="18" t="s">
        <v>606</v>
      </c>
      <c r="F72" s="18" t="s">
        <v>8</v>
      </c>
      <c r="G72" s="18"/>
      <c r="H72" s="18"/>
      <c r="I72" s="18"/>
      <c r="J72" s="18">
        <v>75</v>
      </c>
      <c r="K72" s="19">
        <v>131040.12</v>
      </c>
      <c r="L72" s="19">
        <v>98280.09</v>
      </c>
      <c r="M72" s="19">
        <v>32760.03</v>
      </c>
      <c r="N72" s="19">
        <v>10920.01</v>
      </c>
      <c r="O72" s="19">
        <v>32760.03</v>
      </c>
      <c r="P72" s="19">
        <v>21840.02</v>
      </c>
      <c r="Q72" s="19">
        <v>21840.02</v>
      </c>
      <c r="R72" s="19">
        <v>21840.02</v>
      </c>
      <c r="S72" s="19">
        <v>21840.02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4">
        <v>0</v>
      </c>
      <c r="AC72" s="19"/>
    </row>
    <row r="73" spans="1:32" ht="25.5" x14ac:dyDescent="0.2">
      <c r="A73" s="6">
        <v>379</v>
      </c>
      <c r="B73" s="9">
        <v>130</v>
      </c>
      <c r="C73" s="9">
        <v>102</v>
      </c>
      <c r="D73" s="9" t="s">
        <v>607</v>
      </c>
      <c r="E73" s="9" t="s">
        <v>608</v>
      </c>
      <c r="F73" s="9" t="s">
        <v>11</v>
      </c>
      <c r="G73" s="9" t="s">
        <v>184</v>
      </c>
      <c r="H73" s="9" t="s">
        <v>552</v>
      </c>
      <c r="I73" s="9" t="s">
        <v>18</v>
      </c>
      <c r="J73" s="9">
        <v>75</v>
      </c>
      <c r="K73" s="10">
        <v>131040.12</v>
      </c>
      <c r="L73" s="10">
        <f>0.75*K73</f>
        <v>98280.09</v>
      </c>
      <c r="M73" s="10">
        <f>+K73-L73</f>
        <v>32760.03</v>
      </c>
      <c r="N73" s="10">
        <v>6670.7614999999996</v>
      </c>
      <c r="O73" s="10">
        <v>14571.789499999997</v>
      </c>
      <c r="P73" s="10">
        <v>21840.02</v>
      </c>
      <c r="Q73" s="10">
        <v>21840.02</v>
      </c>
      <c r="R73" s="10">
        <v>21840.02</v>
      </c>
      <c r="S73" s="10">
        <v>21840.02</v>
      </c>
      <c r="T73" s="1"/>
      <c r="U73" s="1"/>
      <c r="V73" s="1"/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2">
        <v>0</v>
      </c>
      <c r="AC73" s="10"/>
    </row>
    <row r="74" spans="1:32" ht="63.75" x14ac:dyDescent="0.2">
      <c r="A74" s="6">
        <v>380</v>
      </c>
      <c r="B74" s="8"/>
      <c r="C74" s="8">
        <v>102</v>
      </c>
      <c r="D74" s="8" t="s">
        <v>609</v>
      </c>
      <c r="E74" s="8" t="s">
        <v>610</v>
      </c>
      <c r="F74" s="8" t="s">
        <v>15</v>
      </c>
      <c r="G74" s="8"/>
      <c r="H74" s="8"/>
      <c r="I74" s="8"/>
      <c r="J74" s="46">
        <v>75</v>
      </c>
      <c r="K74" s="44">
        <f>+N74+O74</f>
        <v>21242.550999999996</v>
      </c>
      <c r="L74" s="44">
        <f>0.75*K74</f>
        <v>15931.913249999998</v>
      </c>
      <c r="M74" s="44">
        <f>+K74-L74</f>
        <v>5310.6377499999981</v>
      </c>
      <c r="N74" s="44">
        <f>6508.06*1.025</f>
        <v>6670.7614999999996</v>
      </c>
      <c r="O74" s="44">
        <f>14216.38*1.025</f>
        <v>14571.789499999997</v>
      </c>
      <c r="P74" s="35"/>
      <c r="Q74" s="35"/>
      <c r="R74" s="35"/>
      <c r="S74" s="35"/>
      <c r="T74" s="53"/>
      <c r="U74" s="53"/>
      <c r="V74" s="53"/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4">
        <v>0</v>
      </c>
      <c r="AC74" s="47">
        <v>42735</v>
      </c>
      <c r="AD74" s="16" t="s">
        <v>820</v>
      </c>
    </row>
    <row r="75" spans="1:32" ht="23.25" customHeight="1" x14ac:dyDescent="0.2">
      <c r="A75" s="6">
        <v>381</v>
      </c>
      <c r="B75" s="25"/>
      <c r="C75" s="25"/>
      <c r="D75" s="25" t="s">
        <v>611</v>
      </c>
      <c r="E75" s="25" t="s">
        <v>612</v>
      </c>
      <c r="F75" s="25" t="s">
        <v>5</v>
      </c>
      <c r="G75" s="25"/>
      <c r="H75" s="25"/>
      <c r="I75" s="25"/>
      <c r="J75" s="25">
        <v>75</v>
      </c>
      <c r="K75" s="26">
        <f>+L75/0.75</f>
        <v>1587769.3333333333</v>
      </c>
      <c r="L75" s="26">
        <v>1190827</v>
      </c>
      <c r="M75" s="26">
        <v>396942.33</v>
      </c>
      <c r="N75" s="26"/>
      <c r="O75" s="26"/>
      <c r="P75" s="26"/>
      <c r="Q75" s="26"/>
      <c r="R75" s="26"/>
      <c r="S75" s="26"/>
      <c r="T75" s="1">
        <v>191646.17</v>
      </c>
      <c r="U75" s="1">
        <v>191646.17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2">
        <v>0</v>
      </c>
      <c r="AC75" s="26"/>
      <c r="AD75" s="57" t="s">
        <v>824</v>
      </c>
      <c r="AE75" s="60">
        <f>+K75-K76</f>
        <v>377833.58933333331</v>
      </c>
      <c r="AF75" s="60">
        <f>+L75-L76</f>
        <v>283375.19200000004</v>
      </c>
    </row>
    <row r="76" spans="1:32" x14ac:dyDescent="0.2">
      <c r="A76" s="6">
        <v>381</v>
      </c>
      <c r="B76" s="18"/>
      <c r="C76" s="18"/>
      <c r="D76" s="18" t="s">
        <v>611</v>
      </c>
      <c r="E76" s="18" t="s">
        <v>612</v>
      </c>
      <c r="F76" s="18" t="s">
        <v>5</v>
      </c>
      <c r="G76" s="18"/>
      <c r="H76" s="18"/>
      <c r="I76" s="18"/>
      <c r="J76" s="18">
        <v>75</v>
      </c>
      <c r="K76" s="19">
        <f>+K77+K90+K97+K100+K105</f>
        <v>1209935.7439999999</v>
      </c>
      <c r="L76" s="19">
        <f t="shared" ref="L76:S76" si="17">+L77+L90+L97+L100+L105</f>
        <v>907451.80799999996</v>
      </c>
      <c r="M76" s="19">
        <f t="shared" si="17"/>
        <v>302483.93599999999</v>
      </c>
      <c r="N76" s="19">
        <f t="shared" si="17"/>
        <v>24554.540499999999</v>
      </c>
      <c r="O76" s="19">
        <f t="shared" si="17"/>
        <v>269927.43350000004</v>
      </c>
      <c r="P76" s="19">
        <f t="shared" si="17"/>
        <v>297530.97774999996</v>
      </c>
      <c r="Q76" s="19">
        <f t="shared" si="17"/>
        <v>234630.45224999997</v>
      </c>
      <c r="R76" s="19">
        <f t="shared" si="17"/>
        <v>191646.16999999998</v>
      </c>
      <c r="S76" s="19">
        <f t="shared" si="17"/>
        <v>191646.16999999998</v>
      </c>
      <c r="T76" s="1">
        <v>191646.17</v>
      </c>
      <c r="U76" s="1">
        <v>191646.17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  <c r="AC76" s="19"/>
    </row>
    <row r="77" spans="1:32" ht="51" x14ac:dyDescent="0.2">
      <c r="A77" s="6">
        <v>382</v>
      </c>
      <c r="B77" s="18"/>
      <c r="C77" s="18"/>
      <c r="D77" s="18" t="s">
        <v>613</v>
      </c>
      <c r="E77" s="18" t="s">
        <v>614</v>
      </c>
      <c r="F77" s="18" t="s">
        <v>8</v>
      </c>
      <c r="G77" s="18"/>
      <c r="H77" s="18"/>
      <c r="I77" s="18"/>
      <c r="J77" s="18">
        <v>75</v>
      </c>
      <c r="K77" s="19">
        <f>+K78+K80+K82+K84+K86+K88</f>
        <v>457088.473</v>
      </c>
      <c r="L77" s="19">
        <f t="shared" ref="L77:S77" si="18">+L78+L80+L82+L84+L86+L88</f>
        <v>342816.35475</v>
      </c>
      <c r="M77" s="19">
        <f t="shared" si="18"/>
        <v>114272.11825</v>
      </c>
      <c r="N77" s="19">
        <f t="shared" si="18"/>
        <v>14398.795</v>
      </c>
      <c r="O77" s="19">
        <f t="shared" si="18"/>
        <v>132594.36275</v>
      </c>
      <c r="P77" s="19">
        <f t="shared" si="18"/>
        <v>123535.18524999999</v>
      </c>
      <c r="Q77" s="19">
        <f t="shared" si="18"/>
        <v>62186.709999999992</v>
      </c>
      <c r="R77" s="19">
        <f t="shared" si="18"/>
        <v>62186.709999999992</v>
      </c>
      <c r="S77" s="19">
        <f t="shared" si="18"/>
        <v>62186.709999999992</v>
      </c>
      <c r="T77" s="3">
        <v>62186.71</v>
      </c>
      <c r="U77" s="3">
        <v>62186.71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  <c r="AC77" s="19"/>
    </row>
    <row r="78" spans="1:32" ht="38.25" x14ac:dyDescent="0.2">
      <c r="A78" s="6">
        <v>383</v>
      </c>
      <c r="B78" s="9">
        <v>131</v>
      </c>
      <c r="C78" s="9">
        <v>103</v>
      </c>
      <c r="D78" s="9" t="s">
        <v>615</v>
      </c>
      <c r="E78" s="9" t="s">
        <v>616</v>
      </c>
      <c r="F78" s="9" t="s">
        <v>11</v>
      </c>
      <c r="G78" s="9" t="s">
        <v>184</v>
      </c>
      <c r="H78" s="9" t="s">
        <v>487</v>
      </c>
      <c r="I78" s="9" t="s">
        <v>18</v>
      </c>
      <c r="J78" s="9">
        <v>75</v>
      </c>
      <c r="K78" s="10">
        <f>+N78+O78+P78+Q78+R78+S78</f>
        <v>80493.535000000003</v>
      </c>
      <c r="L78" s="10">
        <f t="shared" ref="L78:L84" si="19">0.75*K78</f>
        <v>60370.151250000003</v>
      </c>
      <c r="M78" s="10">
        <f t="shared" ref="M78:M84" si="20">+K78-L78</f>
        <v>20123.383750000001</v>
      </c>
      <c r="N78" s="10">
        <v>2061</v>
      </c>
      <c r="O78" s="10">
        <v>18387.474999999999</v>
      </c>
      <c r="P78" s="10">
        <v>30000</v>
      </c>
      <c r="Q78" s="10">
        <v>10015.02</v>
      </c>
      <c r="R78" s="10">
        <v>10015.02</v>
      </c>
      <c r="S78" s="10">
        <v>10015.02</v>
      </c>
      <c r="T78" s="1">
        <v>10015.02</v>
      </c>
      <c r="U78" s="1">
        <v>10015.02</v>
      </c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  <c r="AC78" s="10"/>
    </row>
    <row r="79" spans="1:32" ht="51" x14ac:dyDescent="0.2">
      <c r="A79" s="6">
        <v>384</v>
      </c>
      <c r="B79" s="8"/>
      <c r="C79" s="8">
        <v>103</v>
      </c>
      <c r="D79" s="8" t="s">
        <v>617</v>
      </c>
      <c r="E79" s="8" t="s">
        <v>618</v>
      </c>
      <c r="F79" s="8" t="s">
        <v>15</v>
      </c>
      <c r="G79" s="8"/>
      <c r="H79" s="8"/>
      <c r="I79" s="8"/>
      <c r="J79" s="8">
        <v>75</v>
      </c>
      <c r="K79" s="12">
        <f>+N79+O79+P79</f>
        <v>50448.474999999999</v>
      </c>
      <c r="L79" s="12">
        <f t="shared" si="19"/>
        <v>37836.356249999997</v>
      </c>
      <c r="M79" s="12">
        <f t="shared" si="20"/>
        <v>12612.118750000001</v>
      </c>
      <c r="N79" s="12">
        <v>2061</v>
      </c>
      <c r="O79" s="12">
        <f>17939*1.025</f>
        <v>18387.474999999999</v>
      </c>
      <c r="P79" s="12">
        <v>30000</v>
      </c>
      <c r="Q79" s="12"/>
      <c r="R79" s="12"/>
      <c r="S79" s="12"/>
      <c r="T79" s="3"/>
      <c r="U79" s="3"/>
      <c r="V79" s="3"/>
      <c r="W79" s="3">
        <v>2061</v>
      </c>
      <c r="X79" s="3">
        <v>1545.75</v>
      </c>
      <c r="Y79" s="3">
        <v>3.17</v>
      </c>
      <c r="Z79" s="3">
        <v>1545.75</v>
      </c>
      <c r="AA79" s="3">
        <v>515.25</v>
      </c>
      <c r="AB79" s="4">
        <v>0</v>
      </c>
      <c r="AC79" s="41">
        <v>43100</v>
      </c>
      <c r="AD79" s="16" t="s">
        <v>820</v>
      </c>
    </row>
    <row r="80" spans="1:32" ht="51" x14ac:dyDescent="0.2">
      <c r="A80" s="6">
        <v>385</v>
      </c>
      <c r="B80" s="9">
        <v>132</v>
      </c>
      <c r="C80" s="9">
        <v>104</v>
      </c>
      <c r="D80" s="9" t="s">
        <v>619</v>
      </c>
      <c r="E80" s="9" t="s">
        <v>620</v>
      </c>
      <c r="F80" s="9" t="s">
        <v>11</v>
      </c>
      <c r="G80" s="9" t="s">
        <v>264</v>
      </c>
      <c r="H80" s="9" t="s">
        <v>487</v>
      </c>
      <c r="I80" s="9" t="s">
        <v>18</v>
      </c>
      <c r="J80" s="9">
        <v>75</v>
      </c>
      <c r="K80" s="10">
        <f>+N80+O80+P80+Q80+R80+S80</f>
        <v>54652.522500000006</v>
      </c>
      <c r="L80" s="10">
        <f t="shared" si="19"/>
        <v>40989.391875000001</v>
      </c>
      <c r="M80" s="10">
        <f t="shared" si="20"/>
        <v>13663.130625000005</v>
      </c>
      <c r="N80" s="10">
        <v>1708.675</v>
      </c>
      <c r="O80" s="10">
        <v>8983.8174999999992</v>
      </c>
      <c r="P80" s="10">
        <v>11200</v>
      </c>
      <c r="Q80" s="10">
        <v>10920.01</v>
      </c>
      <c r="R80" s="10">
        <v>10920.01</v>
      </c>
      <c r="S80" s="10">
        <v>10920.01</v>
      </c>
      <c r="T80" s="1">
        <v>10920.01</v>
      </c>
      <c r="U80" s="1">
        <v>10920.01</v>
      </c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  <c r="AC80" s="39"/>
    </row>
    <row r="81" spans="1:30" ht="63.75" x14ac:dyDescent="0.2">
      <c r="A81" s="6">
        <v>386</v>
      </c>
      <c r="B81" s="8"/>
      <c r="C81" s="8">
        <v>104</v>
      </c>
      <c r="D81" s="8" t="s">
        <v>621</v>
      </c>
      <c r="E81" s="8" t="s">
        <v>622</v>
      </c>
      <c r="F81" s="8" t="s">
        <v>15</v>
      </c>
      <c r="G81" s="8"/>
      <c r="H81" s="8"/>
      <c r="I81" s="8"/>
      <c r="J81" s="8">
        <v>75</v>
      </c>
      <c r="K81" s="12">
        <f>+N81+O81+P81</f>
        <v>21892.4925</v>
      </c>
      <c r="L81" s="12">
        <f t="shared" si="19"/>
        <v>16419.369375000002</v>
      </c>
      <c r="M81" s="12">
        <f t="shared" si="20"/>
        <v>5473.1231249999983</v>
      </c>
      <c r="N81" s="12">
        <f>1667*1.025</f>
        <v>1708.675</v>
      </c>
      <c r="O81" s="12">
        <f>8764.7*1.025</f>
        <v>8983.8174999999992</v>
      </c>
      <c r="P81" s="12">
        <v>11200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  <c r="AC81" s="41">
        <v>43100</v>
      </c>
      <c r="AD81" s="16" t="s">
        <v>820</v>
      </c>
    </row>
    <row r="82" spans="1:30" ht="38.25" x14ac:dyDescent="0.2">
      <c r="A82" s="6">
        <v>387</v>
      </c>
      <c r="B82" s="9">
        <v>133</v>
      </c>
      <c r="C82" s="9">
        <v>105</v>
      </c>
      <c r="D82" s="9" t="s">
        <v>623</v>
      </c>
      <c r="E82" s="9" t="s">
        <v>624</v>
      </c>
      <c r="F82" s="9" t="s">
        <v>11</v>
      </c>
      <c r="G82" s="9" t="s">
        <v>264</v>
      </c>
      <c r="H82" s="9" t="s">
        <v>487</v>
      </c>
      <c r="I82" s="9" t="s">
        <v>18</v>
      </c>
      <c r="J82" s="9">
        <v>75</v>
      </c>
      <c r="K82" s="10">
        <f>+N82+O82+P82+Q82+R82+S82</f>
        <v>48349.785499999991</v>
      </c>
      <c r="L82" s="10">
        <f t="shared" si="19"/>
        <v>36262.339124999991</v>
      </c>
      <c r="M82" s="10">
        <f t="shared" si="20"/>
        <v>12087.446375</v>
      </c>
      <c r="N82" s="10">
        <v>3950.74</v>
      </c>
      <c r="O82" s="10">
        <v>10734.025499999998</v>
      </c>
      <c r="P82" s="10">
        <v>8190.01</v>
      </c>
      <c r="Q82" s="10">
        <v>8491.67</v>
      </c>
      <c r="R82" s="10">
        <v>8491.67</v>
      </c>
      <c r="S82" s="10">
        <v>8491.67</v>
      </c>
      <c r="T82" s="1">
        <v>8491.67</v>
      </c>
      <c r="U82" s="1">
        <v>8491.67</v>
      </c>
      <c r="V82" s="1"/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  <c r="AC82" s="39"/>
    </row>
    <row r="83" spans="1:30" ht="38.25" x14ac:dyDescent="0.2">
      <c r="A83" s="6">
        <v>388</v>
      </c>
      <c r="B83" s="8"/>
      <c r="C83" s="8">
        <v>105</v>
      </c>
      <c r="D83" s="8" t="s">
        <v>625</v>
      </c>
      <c r="E83" s="8" t="s">
        <v>624</v>
      </c>
      <c r="F83" s="8" t="s">
        <v>15</v>
      </c>
      <c r="G83" s="8"/>
      <c r="H83" s="8"/>
      <c r="I83" s="8"/>
      <c r="J83" s="8">
        <v>75</v>
      </c>
      <c r="K83" s="12">
        <f>+N83+O83+P83</f>
        <v>22874.775499999996</v>
      </c>
      <c r="L83" s="12">
        <f t="shared" si="19"/>
        <v>17156.081624999999</v>
      </c>
      <c r="M83" s="12">
        <f t="shared" si="20"/>
        <v>5718.6938749999972</v>
      </c>
      <c r="N83" s="12">
        <v>3950.74</v>
      </c>
      <c r="O83" s="12">
        <f>10472.22*1.025</f>
        <v>10734.025499999998</v>
      </c>
      <c r="P83" s="12">
        <v>8190.01</v>
      </c>
      <c r="Q83" s="12"/>
      <c r="R83" s="12"/>
      <c r="S83" s="12"/>
      <c r="T83" s="3"/>
      <c r="U83" s="3"/>
      <c r="V83" s="3"/>
      <c r="W83" s="3">
        <v>10549.8</v>
      </c>
      <c r="X83" s="3">
        <v>7912.34</v>
      </c>
      <c r="Y83" s="3">
        <v>41.41</v>
      </c>
      <c r="Z83" s="3">
        <v>7912.34</v>
      </c>
      <c r="AA83" s="3">
        <v>2637.46</v>
      </c>
      <c r="AB83" s="4">
        <v>0</v>
      </c>
      <c r="AC83" s="41">
        <v>43100</v>
      </c>
      <c r="AD83" s="16" t="s">
        <v>820</v>
      </c>
    </row>
    <row r="84" spans="1:30" ht="38.25" x14ac:dyDescent="0.2">
      <c r="A84" s="6">
        <v>389</v>
      </c>
      <c r="B84" s="9">
        <v>134</v>
      </c>
      <c r="C84" s="9">
        <v>106</v>
      </c>
      <c r="D84" s="9" t="s">
        <v>626</v>
      </c>
      <c r="E84" s="9" t="s">
        <v>627</v>
      </c>
      <c r="F84" s="9" t="s">
        <v>11</v>
      </c>
      <c r="G84" s="9" t="s">
        <v>264</v>
      </c>
      <c r="H84" s="9" t="s">
        <v>487</v>
      </c>
      <c r="I84" s="9" t="s">
        <v>18</v>
      </c>
      <c r="J84" s="9">
        <v>75</v>
      </c>
      <c r="K84" s="10">
        <f>+N84+O84+P84+Q84+R84+S84</f>
        <v>49140.05</v>
      </c>
      <c r="L84" s="10">
        <f t="shared" si="19"/>
        <v>36855.037500000006</v>
      </c>
      <c r="M84" s="10">
        <f t="shared" si="20"/>
        <v>12285.012499999997</v>
      </c>
      <c r="N84" s="10">
        <v>3675.81</v>
      </c>
      <c r="O84" s="10">
        <v>13011.544749999999</v>
      </c>
      <c r="P84" s="10">
        <v>7882.66525</v>
      </c>
      <c r="Q84" s="10">
        <v>8190.01</v>
      </c>
      <c r="R84" s="10">
        <v>8190.01</v>
      </c>
      <c r="S84" s="10">
        <v>8190.01</v>
      </c>
      <c r="T84" s="1">
        <v>8190.01</v>
      </c>
      <c r="U84" s="1">
        <v>8190.01</v>
      </c>
      <c r="V84" s="1"/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  <c r="AC84" s="39"/>
    </row>
    <row r="85" spans="1:30" ht="38.25" x14ac:dyDescent="0.2">
      <c r="A85" s="6">
        <v>390</v>
      </c>
      <c r="B85" s="8"/>
      <c r="C85" s="8">
        <v>106</v>
      </c>
      <c r="D85" s="8" t="s">
        <v>628</v>
      </c>
      <c r="E85" s="8" t="s">
        <v>627</v>
      </c>
      <c r="F85" s="8" t="s">
        <v>15</v>
      </c>
      <c r="G85" s="8"/>
      <c r="H85" s="8"/>
      <c r="I85" s="8"/>
      <c r="J85" s="8">
        <v>75</v>
      </c>
      <c r="K85" s="12">
        <v>24570.02</v>
      </c>
      <c r="L85" s="12">
        <v>18427.509999999998</v>
      </c>
      <c r="M85" s="12">
        <v>6142.51</v>
      </c>
      <c r="N85" s="12">
        <v>3675.81</v>
      </c>
      <c r="O85" s="12">
        <f>12694.19*1.025</f>
        <v>13011.544749999999</v>
      </c>
      <c r="P85" s="12">
        <f>+K85-N85-O85</f>
        <v>7882.66525</v>
      </c>
      <c r="Q85" s="12"/>
      <c r="R85" s="12"/>
      <c r="S85" s="12"/>
      <c r="T85" s="3"/>
      <c r="U85" s="3"/>
      <c r="V85" s="3"/>
      <c r="W85" s="3">
        <v>3675.81</v>
      </c>
      <c r="X85" s="3">
        <v>2756.85</v>
      </c>
      <c r="Y85" s="3">
        <v>14.96</v>
      </c>
      <c r="Z85" s="3">
        <v>2756.85</v>
      </c>
      <c r="AA85" s="3">
        <v>918.96</v>
      </c>
      <c r="AB85" s="4">
        <v>0</v>
      </c>
      <c r="AC85" s="41">
        <v>43100</v>
      </c>
    </row>
    <row r="86" spans="1:30" ht="51" x14ac:dyDescent="0.2">
      <c r="A86" s="6">
        <v>391</v>
      </c>
      <c r="B86" s="9">
        <v>135</v>
      </c>
      <c r="C86" s="9">
        <v>107</v>
      </c>
      <c r="D86" s="9" t="s">
        <v>629</v>
      </c>
      <c r="E86" s="9" t="s">
        <v>630</v>
      </c>
      <c r="F86" s="9" t="s">
        <v>11</v>
      </c>
      <c r="G86" s="9" t="s">
        <v>264</v>
      </c>
      <c r="H86" s="9" t="s">
        <v>487</v>
      </c>
      <c r="I86" s="9" t="s">
        <v>18</v>
      </c>
      <c r="J86" s="9">
        <v>75</v>
      </c>
      <c r="K86" s="10">
        <f>+N86+O86+P86+Q86+R86+S86</f>
        <v>172330.06999999998</v>
      </c>
      <c r="L86" s="10">
        <f>0.75*K86</f>
        <v>129247.55249999999</v>
      </c>
      <c r="M86" s="10">
        <f>+K86-L86</f>
        <v>43082.517499999987</v>
      </c>
      <c r="N86" s="10"/>
      <c r="O86" s="10">
        <v>74927.5</v>
      </c>
      <c r="P86" s="10">
        <v>48262.509999999995</v>
      </c>
      <c r="Q86" s="10">
        <v>16380.02</v>
      </c>
      <c r="R86" s="10">
        <v>16380.02</v>
      </c>
      <c r="S86" s="10">
        <v>16380.02</v>
      </c>
      <c r="T86" s="1">
        <v>16380.02</v>
      </c>
      <c r="U86" s="1">
        <v>16380.02</v>
      </c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  <c r="AC86" s="39"/>
    </row>
    <row r="87" spans="1:30" ht="63.75" x14ac:dyDescent="0.2">
      <c r="A87" s="6">
        <v>392</v>
      </c>
      <c r="B87" s="8"/>
      <c r="C87" s="8">
        <v>107</v>
      </c>
      <c r="D87" s="8" t="s">
        <v>631</v>
      </c>
      <c r="E87" s="8" t="s">
        <v>632</v>
      </c>
      <c r="F87" s="8" t="s">
        <v>15</v>
      </c>
      <c r="G87" s="8"/>
      <c r="H87" s="8"/>
      <c r="I87" s="8"/>
      <c r="J87" s="8">
        <v>75</v>
      </c>
      <c r="K87" s="12">
        <v>123190.01</v>
      </c>
      <c r="L87" s="12">
        <v>92392.5</v>
      </c>
      <c r="M87" s="12">
        <v>30797.51</v>
      </c>
      <c r="N87" s="12"/>
      <c r="O87" s="12">
        <f>73100*1.025</f>
        <v>74927.5</v>
      </c>
      <c r="P87" s="12">
        <f>+K87-O87</f>
        <v>48262.509999999995</v>
      </c>
      <c r="Q87" s="12"/>
      <c r="R87" s="12"/>
      <c r="S87" s="12"/>
      <c r="T87" s="3"/>
      <c r="U87" s="3"/>
      <c r="V87" s="3"/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  <c r="AC87" s="41">
        <v>43100</v>
      </c>
    </row>
    <row r="88" spans="1:30" ht="38.25" x14ac:dyDescent="0.2">
      <c r="A88" s="6">
        <v>393</v>
      </c>
      <c r="B88" s="9">
        <v>136</v>
      </c>
      <c r="C88" s="9">
        <v>108</v>
      </c>
      <c r="D88" s="9" t="s">
        <v>633</v>
      </c>
      <c r="E88" s="9" t="s">
        <v>634</v>
      </c>
      <c r="F88" s="9" t="s">
        <v>11</v>
      </c>
      <c r="G88" s="9" t="s">
        <v>264</v>
      </c>
      <c r="H88" s="9" t="s">
        <v>487</v>
      </c>
      <c r="I88" s="9" t="s">
        <v>18</v>
      </c>
      <c r="J88" s="9">
        <v>75</v>
      </c>
      <c r="K88" s="10">
        <f>+N88+O88+P88+Q88+R88+S88</f>
        <v>52122.509999999995</v>
      </c>
      <c r="L88" s="10">
        <f>0.75*K88</f>
        <v>39091.882499999992</v>
      </c>
      <c r="M88" s="10">
        <f>+K88-L88</f>
        <v>13030.627500000002</v>
      </c>
      <c r="N88" s="10">
        <v>3002.57</v>
      </c>
      <c r="O88" s="10">
        <v>6550</v>
      </c>
      <c r="P88" s="10">
        <v>18000</v>
      </c>
      <c r="Q88" s="10">
        <v>8189.98</v>
      </c>
      <c r="R88" s="10">
        <v>8189.98</v>
      </c>
      <c r="S88" s="10">
        <v>8189.98</v>
      </c>
      <c r="T88" s="1">
        <v>8189.98</v>
      </c>
      <c r="U88" s="1">
        <v>8189.98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  <c r="AC88" s="39"/>
    </row>
    <row r="89" spans="1:30" ht="63.75" x14ac:dyDescent="0.2">
      <c r="A89" s="6">
        <v>394</v>
      </c>
      <c r="B89" s="8"/>
      <c r="C89" s="8">
        <v>108</v>
      </c>
      <c r="D89" s="8" t="s">
        <v>635</v>
      </c>
      <c r="E89" s="8" t="s">
        <v>636</v>
      </c>
      <c r="F89" s="8" t="s">
        <v>15</v>
      </c>
      <c r="G89" s="8"/>
      <c r="H89" s="8"/>
      <c r="I89" s="8"/>
      <c r="J89" s="8">
        <v>75</v>
      </c>
      <c r="K89" s="12">
        <f>+N89+O89+P89</f>
        <v>27552.57</v>
      </c>
      <c r="L89" s="12">
        <f>0.75*K89</f>
        <v>20664.427499999998</v>
      </c>
      <c r="M89" s="12">
        <f>+K89-L89</f>
        <v>6888.1425000000017</v>
      </c>
      <c r="N89" s="12">
        <v>3002.57</v>
      </c>
      <c r="O89" s="12">
        <v>6550</v>
      </c>
      <c r="P89" s="12">
        <v>18000</v>
      </c>
      <c r="Q89" s="12"/>
      <c r="R89" s="12"/>
      <c r="S89" s="12"/>
      <c r="T89" s="3"/>
      <c r="U89" s="3"/>
      <c r="V89" s="3"/>
      <c r="W89" s="3">
        <v>5898.38</v>
      </c>
      <c r="X89" s="3">
        <v>4423.75</v>
      </c>
      <c r="Y89" s="3">
        <v>14.71</v>
      </c>
      <c r="Z89" s="3">
        <v>4423.75</v>
      </c>
      <c r="AA89" s="3">
        <v>1474.63</v>
      </c>
      <c r="AB89" s="4">
        <v>0</v>
      </c>
      <c r="AC89" s="41">
        <v>43100</v>
      </c>
      <c r="AD89" s="16" t="s">
        <v>820</v>
      </c>
    </row>
    <row r="90" spans="1:30" ht="38.25" x14ac:dyDescent="0.2">
      <c r="A90" s="6">
        <v>395</v>
      </c>
      <c r="B90" s="18"/>
      <c r="C90" s="18"/>
      <c r="D90" s="18" t="s">
        <v>637</v>
      </c>
      <c r="E90" s="18" t="s">
        <v>638</v>
      </c>
      <c r="F90" s="18" t="s">
        <v>8</v>
      </c>
      <c r="G90" s="18"/>
      <c r="H90" s="18"/>
      <c r="I90" s="18"/>
      <c r="J90" s="18">
        <v>75</v>
      </c>
      <c r="K90" s="19">
        <f>+K91+K93+K95</f>
        <v>217375.976</v>
      </c>
      <c r="L90" s="19">
        <f t="shared" ref="L90:S90" si="21">+L91+L93+L95</f>
        <v>163031.98199999999</v>
      </c>
      <c r="M90" s="19">
        <f t="shared" si="21"/>
        <v>54343.994000000006</v>
      </c>
      <c r="N90" s="19">
        <f t="shared" si="21"/>
        <v>6326.5459999999994</v>
      </c>
      <c r="O90" s="19">
        <f t="shared" si="21"/>
        <v>53649.48775</v>
      </c>
      <c r="P90" s="19">
        <f t="shared" si="21"/>
        <v>39067.69</v>
      </c>
      <c r="Q90" s="19">
        <f t="shared" si="21"/>
        <v>40196.852250000004</v>
      </c>
      <c r="R90" s="19">
        <f t="shared" si="21"/>
        <v>39067.700000000004</v>
      </c>
      <c r="S90" s="19">
        <f t="shared" si="21"/>
        <v>39067.700000000004</v>
      </c>
      <c r="T90" s="1">
        <v>39067.699999999997</v>
      </c>
      <c r="U90" s="1">
        <v>39067.699999999997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  <c r="AC90" s="42"/>
    </row>
    <row r="91" spans="1:30" ht="38.25" x14ac:dyDescent="0.2">
      <c r="A91" s="6">
        <v>396</v>
      </c>
      <c r="B91" s="9">
        <v>137</v>
      </c>
      <c r="C91" s="9">
        <v>109</v>
      </c>
      <c r="D91" s="9" t="s">
        <v>639</v>
      </c>
      <c r="E91" s="9" t="s">
        <v>640</v>
      </c>
      <c r="F91" s="9" t="s">
        <v>11</v>
      </c>
      <c r="G91" s="9" t="s">
        <v>28</v>
      </c>
      <c r="H91" s="9" t="s">
        <v>487</v>
      </c>
      <c r="I91" s="9" t="s">
        <v>18</v>
      </c>
      <c r="J91" s="9">
        <v>75</v>
      </c>
      <c r="K91" s="10">
        <f>+O91+P91+Q91+R91+S91</f>
        <v>50950.02</v>
      </c>
      <c r="L91" s="10">
        <f>0.75*K91</f>
        <v>38212.514999999999</v>
      </c>
      <c r="M91" s="10">
        <f>+K91-L91</f>
        <v>12737.504999999997</v>
      </c>
      <c r="N91" s="10"/>
      <c r="O91" s="10">
        <v>15854.197749999999</v>
      </c>
      <c r="P91" s="10">
        <v>8491.66</v>
      </c>
      <c r="Q91" s="10">
        <v>9620.8222500000011</v>
      </c>
      <c r="R91" s="10">
        <v>8491.67</v>
      </c>
      <c r="S91" s="10">
        <v>8491.67</v>
      </c>
      <c r="T91" s="3">
        <v>8491.67</v>
      </c>
      <c r="U91" s="3">
        <v>8491.67</v>
      </c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  <c r="AC91" s="39"/>
    </row>
    <row r="92" spans="1:30" ht="38.25" x14ac:dyDescent="0.2">
      <c r="A92" s="6">
        <v>397</v>
      </c>
      <c r="B92" s="14"/>
      <c r="C92" s="14">
        <v>109</v>
      </c>
      <c r="D92" s="14" t="s">
        <v>641</v>
      </c>
      <c r="E92" s="14" t="s">
        <v>640</v>
      </c>
      <c r="F92" s="14" t="s">
        <v>15</v>
      </c>
      <c r="G92" s="14"/>
      <c r="H92" s="14"/>
      <c r="I92" s="14"/>
      <c r="J92" s="14">
        <v>75</v>
      </c>
      <c r="K92" s="15">
        <v>33966.68</v>
      </c>
      <c r="L92" s="15">
        <v>25475.01</v>
      </c>
      <c r="M92" s="15">
        <v>8491.67</v>
      </c>
      <c r="N92" s="15"/>
      <c r="O92" s="15">
        <f>15467.51*1.025</f>
        <v>15854.197749999999</v>
      </c>
      <c r="P92" s="15">
        <v>8491.66</v>
      </c>
      <c r="Q92" s="15">
        <f>+K92-O92-P92</f>
        <v>9620.8222500000011</v>
      </c>
      <c r="R92" s="15"/>
      <c r="S92" s="15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  <c r="AC92" s="38">
        <v>43465</v>
      </c>
    </row>
    <row r="93" spans="1:30" ht="38.25" x14ac:dyDescent="0.2">
      <c r="A93" s="6">
        <v>398</v>
      </c>
      <c r="B93" s="9">
        <v>138</v>
      </c>
      <c r="C93" s="9">
        <v>110</v>
      </c>
      <c r="D93" s="9" t="s">
        <v>642</v>
      </c>
      <c r="E93" s="9" t="s">
        <v>643</v>
      </c>
      <c r="F93" s="9" t="s">
        <v>11</v>
      </c>
      <c r="G93" s="9" t="s">
        <v>28</v>
      </c>
      <c r="H93" s="9" t="s">
        <v>487</v>
      </c>
      <c r="I93" s="9" t="s">
        <v>18</v>
      </c>
      <c r="J93" s="9">
        <v>75</v>
      </c>
      <c r="K93" s="10">
        <f>+O93+P93+Q93+R93+S93+N93</f>
        <v>116425.976</v>
      </c>
      <c r="L93" s="10">
        <f>0.75*K93</f>
        <v>87319.481999999989</v>
      </c>
      <c r="M93" s="10">
        <f>+K93-L93</f>
        <v>29106.494000000006</v>
      </c>
      <c r="N93" s="10">
        <v>6326.5459999999994</v>
      </c>
      <c r="O93" s="10">
        <v>21128.63</v>
      </c>
      <c r="P93" s="10">
        <v>22242.7</v>
      </c>
      <c r="Q93" s="10">
        <v>22242.7</v>
      </c>
      <c r="R93" s="10">
        <v>22242.7</v>
      </c>
      <c r="S93" s="10">
        <v>22242.7</v>
      </c>
      <c r="T93" s="3">
        <v>22242.7</v>
      </c>
      <c r="U93" s="3">
        <v>22242.7</v>
      </c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  <c r="AC93" s="39"/>
    </row>
    <row r="94" spans="1:30" ht="38.25" x14ac:dyDescent="0.2">
      <c r="A94" s="6">
        <v>399</v>
      </c>
      <c r="B94" s="14"/>
      <c r="C94" s="14">
        <v>110</v>
      </c>
      <c r="D94" s="14" t="s">
        <v>644</v>
      </c>
      <c r="E94" s="14" t="s">
        <v>643</v>
      </c>
      <c r="F94" s="14" t="s">
        <v>15</v>
      </c>
      <c r="G94" s="14"/>
      <c r="H94" s="14"/>
      <c r="I94" s="14"/>
      <c r="J94" s="14">
        <v>75</v>
      </c>
      <c r="K94" s="15">
        <f>+P94+O94+N94</f>
        <v>49697.876000000004</v>
      </c>
      <c r="L94" s="15">
        <f>0.75*K94</f>
        <v>37273.407000000007</v>
      </c>
      <c r="M94" s="15">
        <f>+K94-L94</f>
        <v>12424.468999999997</v>
      </c>
      <c r="N94" s="15">
        <f>6172.24*1.025</f>
        <v>6326.5459999999994</v>
      </c>
      <c r="O94" s="15">
        <v>21128.63</v>
      </c>
      <c r="P94" s="15">
        <v>22242.7</v>
      </c>
      <c r="Q94" s="15"/>
      <c r="R94" s="15"/>
      <c r="S94" s="15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  <c r="AC94" s="38">
        <v>43100</v>
      </c>
      <c r="AD94" s="16" t="s">
        <v>820</v>
      </c>
    </row>
    <row r="95" spans="1:30" ht="38.25" x14ac:dyDescent="0.2">
      <c r="A95" s="6">
        <v>400</v>
      </c>
      <c r="B95" s="9">
        <v>139</v>
      </c>
      <c r="C95" s="9">
        <v>111</v>
      </c>
      <c r="D95" s="9" t="s">
        <v>645</v>
      </c>
      <c r="E95" s="9" t="s">
        <v>646</v>
      </c>
      <c r="F95" s="9" t="s">
        <v>11</v>
      </c>
      <c r="G95" s="9" t="s">
        <v>28</v>
      </c>
      <c r="H95" s="9" t="s">
        <v>487</v>
      </c>
      <c r="I95" s="9" t="s">
        <v>18</v>
      </c>
      <c r="J95" s="9">
        <v>75</v>
      </c>
      <c r="K95" s="10">
        <f>+O95+P95+Q95+R95+S95</f>
        <v>49999.98</v>
      </c>
      <c r="L95" s="10">
        <f>0.75*K95</f>
        <v>37499.985000000001</v>
      </c>
      <c r="M95" s="10">
        <f>+K95-L95</f>
        <v>12499.995000000003</v>
      </c>
      <c r="N95" s="10"/>
      <c r="O95" s="10">
        <v>16666.66</v>
      </c>
      <c r="P95" s="10">
        <v>8333.33</v>
      </c>
      <c r="Q95" s="10">
        <v>8333.33</v>
      </c>
      <c r="R95" s="10">
        <v>8333.33</v>
      </c>
      <c r="S95" s="10">
        <v>8333.33</v>
      </c>
      <c r="T95" s="3">
        <v>8333.33</v>
      </c>
      <c r="U95" s="3">
        <v>8333.33</v>
      </c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  <c r="AC95" s="39"/>
    </row>
    <row r="96" spans="1:30" ht="25.5" x14ac:dyDescent="0.2">
      <c r="A96" s="6">
        <v>401</v>
      </c>
      <c r="B96" s="14"/>
      <c r="C96" s="14">
        <v>111</v>
      </c>
      <c r="D96" s="14" t="s">
        <v>647</v>
      </c>
      <c r="E96" s="14" t="s">
        <v>646</v>
      </c>
      <c r="F96" s="14" t="s">
        <v>15</v>
      </c>
      <c r="G96" s="14"/>
      <c r="H96" s="14"/>
      <c r="I96" s="14"/>
      <c r="J96" s="14">
        <v>75</v>
      </c>
      <c r="K96" s="15">
        <v>33333.32</v>
      </c>
      <c r="L96" s="15">
        <v>24999.99</v>
      </c>
      <c r="M96" s="15">
        <v>8333.33</v>
      </c>
      <c r="N96" s="15"/>
      <c r="O96" s="15">
        <f>10340.73*1.025</f>
        <v>10599.248249999999</v>
      </c>
      <c r="P96" s="15">
        <v>8333.33</v>
      </c>
      <c r="Q96" s="15">
        <f>+K96-O96-P96</f>
        <v>14400.741750000003</v>
      </c>
      <c r="R96" s="15"/>
      <c r="S96" s="15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  <c r="AC96" s="38">
        <v>43465</v>
      </c>
    </row>
    <row r="97" spans="1:32" ht="38.25" x14ac:dyDescent="0.2">
      <c r="A97" s="6">
        <v>402</v>
      </c>
      <c r="B97" s="18"/>
      <c r="C97" s="18"/>
      <c r="D97" s="18" t="s">
        <v>648</v>
      </c>
      <c r="E97" s="18" t="s">
        <v>649</v>
      </c>
      <c r="F97" s="18" t="s">
        <v>8</v>
      </c>
      <c r="G97" s="18"/>
      <c r="H97" s="18"/>
      <c r="I97" s="18"/>
      <c r="J97" s="18">
        <v>75</v>
      </c>
      <c r="K97" s="19">
        <f>+K98</f>
        <v>37161.395499999999</v>
      </c>
      <c r="L97" s="19">
        <f t="shared" ref="L97:S97" si="22">+L98</f>
        <v>27871.046624999999</v>
      </c>
      <c r="M97" s="19">
        <f t="shared" si="22"/>
        <v>9290.3488749999997</v>
      </c>
      <c r="N97" s="19"/>
      <c r="O97" s="19">
        <f t="shared" si="22"/>
        <v>3040.3754999999996</v>
      </c>
      <c r="P97" s="19">
        <f t="shared" si="22"/>
        <v>11146</v>
      </c>
      <c r="Q97" s="19">
        <f t="shared" si="22"/>
        <v>7658.34</v>
      </c>
      <c r="R97" s="19">
        <f t="shared" si="22"/>
        <v>7658.34</v>
      </c>
      <c r="S97" s="19">
        <f t="shared" si="22"/>
        <v>7658.34</v>
      </c>
      <c r="T97" s="3">
        <v>7658.34</v>
      </c>
      <c r="U97" s="3">
        <v>7658.34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  <c r="AC97" s="42"/>
    </row>
    <row r="98" spans="1:32" ht="38.25" x14ac:dyDescent="0.2">
      <c r="A98" s="6">
        <v>403</v>
      </c>
      <c r="B98" s="9">
        <v>140</v>
      </c>
      <c r="C98" s="9">
        <v>112</v>
      </c>
      <c r="D98" s="9" t="s">
        <v>650</v>
      </c>
      <c r="E98" s="9" t="s">
        <v>651</v>
      </c>
      <c r="F98" s="9" t="s">
        <v>11</v>
      </c>
      <c r="G98" s="9" t="s">
        <v>28</v>
      </c>
      <c r="H98" s="9" t="s">
        <v>487</v>
      </c>
      <c r="I98" s="9" t="s">
        <v>18</v>
      </c>
      <c r="J98" s="9">
        <v>75</v>
      </c>
      <c r="K98" s="10">
        <f>+O98+P98+Q98+R98+S98</f>
        <v>37161.395499999999</v>
      </c>
      <c r="L98" s="10">
        <f>0.75*K98</f>
        <v>27871.046624999999</v>
      </c>
      <c r="M98" s="10">
        <f>+K98-L98</f>
        <v>9290.3488749999997</v>
      </c>
      <c r="N98" s="10"/>
      <c r="O98" s="10">
        <v>3040.3754999999996</v>
      </c>
      <c r="P98" s="10">
        <v>11146</v>
      </c>
      <c r="Q98" s="10">
        <v>7658.34</v>
      </c>
      <c r="R98" s="10">
        <v>7658.34</v>
      </c>
      <c r="S98" s="10">
        <v>7658.34</v>
      </c>
      <c r="T98" s="1">
        <v>7658.34</v>
      </c>
      <c r="U98" s="1">
        <v>7658.34</v>
      </c>
      <c r="V98" s="1"/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  <c r="AC98" s="39"/>
    </row>
    <row r="99" spans="1:32" ht="51" x14ac:dyDescent="0.2">
      <c r="A99" s="6">
        <v>404</v>
      </c>
      <c r="B99" s="8"/>
      <c r="C99" s="8">
        <v>112</v>
      </c>
      <c r="D99" s="8" t="s">
        <v>652</v>
      </c>
      <c r="E99" s="8" t="s">
        <v>653</v>
      </c>
      <c r="F99" s="8" t="s">
        <v>15</v>
      </c>
      <c r="G99" s="8"/>
      <c r="H99" s="8"/>
      <c r="I99" s="8"/>
      <c r="J99" s="8">
        <v>75</v>
      </c>
      <c r="K99" s="12">
        <f>+O99+P99</f>
        <v>10698.3755</v>
      </c>
      <c r="L99" s="12">
        <f>0.75*K99</f>
        <v>8023.7816249999996</v>
      </c>
      <c r="M99" s="12">
        <f>+K99-L99</f>
        <v>2674.5938750000005</v>
      </c>
      <c r="N99" s="12"/>
      <c r="O99" s="12">
        <f>2966.22*1.025</f>
        <v>3040.3754999999996</v>
      </c>
      <c r="P99" s="12">
        <v>7658</v>
      </c>
      <c r="Q99" s="12"/>
      <c r="R99" s="12"/>
      <c r="S99" s="12"/>
      <c r="T99" s="3"/>
      <c r="U99" s="3"/>
      <c r="V99" s="3"/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  <c r="AC99" s="41">
        <v>43100</v>
      </c>
      <c r="AD99" s="16" t="s">
        <v>820</v>
      </c>
    </row>
    <row r="100" spans="1:32" ht="25.5" x14ac:dyDescent="0.2">
      <c r="A100" s="6">
        <v>405</v>
      </c>
      <c r="B100" s="18"/>
      <c r="C100" s="18"/>
      <c r="D100" s="18" t="s">
        <v>654</v>
      </c>
      <c r="E100" s="18" t="s">
        <v>655</v>
      </c>
      <c r="F100" s="18" t="s">
        <v>8</v>
      </c>
      <c r="G100" s="18"/>
      <c r="H100" s="18"/>
      <c r="I100" s="18"/>
      <c r="J100" s="18">
        <v>75</v>
      </c>
      <c r="K100" s="19">
        <f>+K101+K103</f>
        <v>461082.44825000002</v>
      </c>
      <c r="L100" s="19">
        <f t="shared" ref="L100:S100" si="23">+L101+L103</f>
        <v>345811.83618750004</v>
      </c>
      <c r="M100" s="19">
        <f t="shared" si="23"/>
        <v>115270.6120625</v>
      </c>
      <c r="N100" s="19">
        <f t="shared" si="23"/>
        <v>3829.1994999999997</v>
      </c>
      <c r="O100" s="19">
        <f t="shared" si="23"/>
        <v>79815.776249999995</v>
      </c>
      <c r="P100" s="19">
        <f t="shared" si="23"/>
        <v>105582.0925</v>
      </c>
      <c r="Q100" s="19">
        <f t="shared" si="23"/>
        <v>106388.54</v>
      </c>
      <c r="R100" s="19">
        <f t="shared" si="23"/>
        <v>82733.42</v>
      </c>
      <c r="S100" s="19">
        <f t="shared" si="23"/>
        <v>82733.42</v>
      </c>
      <c r="T100" s="1">
        <v>82733.42</v>
      </c>
      <c r="U100" s="1">
        <v>82733.42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  <c r="AC100" s="42"/>
    </row>
    <row r="101" spans="1:32" ht="38.25" x14ac:dyDescent="0.2">
      <c r="A101" s="6">
        <v>406</v>
      </c>
      <c r="B101" s="9">
        <v>141</v>
      </c>
      <c r="C101" s="9">
        <v>113</v>
      </c>
      <c r="D101" s="9" t="s">
        <v>656</v>
      </c>
      <c r="E101" s="9" t="s">
        <v>657</v>
      </c>
      <c r="F101" s="9" t="s">
        <v>11</v>
      </c>
      <c r="G101" s="9" t="s">
        <v>28</v>
      </c>
      <c r="H101" s="9" t="s">
        <v>487</v>
      </c>
      <c r="I101" s="9" t="s">
        <v>18</v>
      </c>
      <c r="J101" s="9">
        <v>75</v>
      </c>
      <c r="K101" s="10">
        <f>+O101+P101+Q101+R101+S101+N101</f>
        <v>65633.36</v>
      </c>
      <c r="L101" s="10">
        <f>0.75*K101</f>
        <v>49225.020000000004</v>
      </c>
      <c r="M101" s="10">
        <f>+K101-L101</f>
        <v>16408.339999999997</v>
      </c>
      <c r="N101" s="10">
        <v>2750.1</v>
      </c>
      <c r="O101" s="10">
        <v>33056.147499999999</v>
      </c>
      <c r="P101" s="10">
        <v>6852.0924999999988</v>
      </c>
      <c r="Q101" s="10">
        <v>7658.34</v>
      </c>
      <c r="R101" s="10">
        <v>7658.34</v>
      </c>
      <c r="S101" s="10">
        <v>7658.34</v>
      </c>
      <c r="T101" s="3">
        <v>7658.34</v>
      </c>
      <c r="U101" s="3">
        <v>7658.34</v>
      </c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  <c r="AC101" s="39"/>
    </row>
    <row r="102" spans="1:32" ht="51" x14ac:dyDescent="0.2">
      <c r="A102" s="6">
        <v>407</v>
      </c>
      <c r="B102" s="14"/>
      <c r="C102" s="14">
        <v>113</v>
      </c>
      <c r="D102" s="14" t="s">
        <v>658</v>
      </c>
      <c r="E102" s="14" t="s">
        <v>659</v>
      </c>
      <c r="F102" s="14" t="s">
        <v>15</v>
      </c>
      <c r="G102" s="14"/>
      <c r="H102" s="14"/>
      <c r="I102" s="14"/>
      <c r="J102" s="14">
        <v>75</v>
      </c>
      <c r="K102" s="15">
        <v>42658.34</v>
      </c>
      <c r="L102" s="15">
        <v>31993.75</v>
      </c>
      <c r="M102" s="15">
        <v>10664.59</v>
      </c>
      <c r="N102" s="15">
        <v>2750.1</v>
      </c>
      <c r="O102" s="15">
        <f>32249.9*1.025</f>
        <v>33056.147499999999</v>
      </c>
      <c r="P102" s="15">
        <f>+K102-N102-O102</f>
        <v>6852.0924999999988</v>
      </c>
      <c r="Q102" s="15"/>
      <c r="R102" s="15"/>
      <c r="S102" s="15"/>
      <c r="T102" s="1"/>
      <c r="U102" s="1"/>
      <c r="V102" s="1"/>
      <c r="W102" s="1">
        <v>2750.1</v>
      </c>
      <c r="X102" s="1">
        <v>2062.5700000000002</v>
      </c>
      <c r="Y102" s="1">
        <v>6.45</v>
      </c>
      <c r="Z102" s="1">
        <v>2062.5700000000002</v>
      </c>
      <c r="AA102" s="1">
        <v>687.53</v>
      </c>
      <c r="AB102" s="2">
        <v>0</v>
      </c>
      <c r="AC102" s="38">
        <v>43100</v>
      </c>
    </row>
    <row r="103" spans="1:32" ht="38.25" x14ac:dyDescent="0.2">
      <c r="A103" s="6">
        <v>408</v>
      </c>
      <c r="B103" s="9">
        <v>142</v>
      </c>
      <c r="C103" s="9">
        <v>114</v>
      </c>
      <c r="D103" s="9" t="s">
        <v>660</v>
      </c>
      <c r="E103" s="9" t="s">
        <v>661</v>
      </c>
      <c r="F103" s="9" t="s">
        <v>11</v>
      </c>
      <c r="G103" s="9" t="s">
        <v>36</v>
      </c>
      <c r="H103" s="9" t="s">
        <v>487</v>
      </c>
      <c r="I103" s="9" t="s">
        <v>18</v>
      </c>
      <c r="J103" s="9">
        <v>75</v>
      </c>
      <c r="K103" s="10">
        <f>+O103+P103+Q103+R103+S103+N103</f>
        <v>395449.08825000003</v>
      </c>
      <c r="L103" s="10">
        <f>0.75*K103</f>
        <v>296586.81618750002</v>
      </c>
      <c r="M103" s="10">
        <f>+K103-L103</f>
        <v>98862.272062500007</v>
      </c>
      <c r="N103" s="10">
        <v>1079.0994999999998</v>
      </c>
      <c r="O103" s="10">
        <v>46759.628749999996</v>
      </c>
      <c r="P103" s="10">
        <v>98730</v>
      </c>
      <c r="Q103" s="10">
        <v>98730.2</v>
      </c>
      <c r="R103" s="10">
        <v>75075.08</v>
      </c>
      <c r="S103" s="10">
        <v>75075.08</v>
      </c>
      <c r="T103" s="3">
        <v>75075.08</v>
      </c>
      <c r="U103" s="3">
        <v>75075.08</v>
      </c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  <c r="AC103" s="39"/>
    </row>
    <row r="104" spans="1:32" ht="63.75" x14ac:dyDescent="0.2">
      <c r="A104" s="6">
        <v>409</v>
      </c>
      <c r="B104" s="14"/>
      <c r="C104" s="14">
        <v>114</v>
      </c>
      <c r="D104" s="14" t="s">
        <v>662</v>
      </c>
      <c r="E104" s="14" t="s">
        <v>663</v>
      </c>
      <c r="F104" s="14" t="s">
        <v>15</v>
      </c>
      <c r="G104" s="14"/>
      <c r="H104" s="14"/>
      <c r="I104" s="14"/>
      <c r="J104" s="14">
        <v>75</v>
      </c>
      <c r="K104" s="15">
        <f>+N104+O104+P104</f>
        <v>146568.72824999999</v>
      </c>
      <c r="L104" s="15">
        <f>0.75*K104</f>
        <v>109926.54618749999</v>
      </c>
      <c r="M104" s="15">
        <f>+K104-L104</f>
        <v>36642.182062499996</v>
      </c>
      <c r="N104" s="15">
        <f>1052.78*1.025</f>
        <v>1079.0994999999998</v>
      </c>
      <c r="O104" s="15">
        <f>45619.15*1.025</f>
        <v>46759.628749999996</v>
      </c>
      <c r="P104" s="15">
        <v>98730</v>
      </c>
      <c r="Q104" s="15"/>
      <c r="R104" s="15"/>
      <c r="S104" s="15"/>
      <c r="T104" s="1"/>
      <c r="U104" s="1"/>
      <c r="V104" s="1"/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2">
        <v>0</v>
      </c>
      <c r="AC104" s="38">
        <v>43100</v>
      </c>
      <c r="AD104" s="16" t="s">
        <v>820</v>
      </c>
    </row>
    <row r="105" spans="1:32" ht="38.25" x14ac:dyDescent="0.2">
      <c r="A105" s="6">
        <v>410</v>
      </c>
      <c r="B105" s="18"/>
      <c r="C105" s="18"/>
      <c r="D105" s="18" t="s">
        <v>664</v>
      </c>
      <c r="E105" s="18" t="s">
        <v>665</v>
      </c>
      <c r="F105" s="18" t="s">
        <v>8</v>
      </c>
      <c r="G105" s="18"/>
      <c r="H105" s="18"/>
      <c r="I105" s="18"/>
      <c r="J105" s="18">
        <v>75</v>
      </c>
      <c r="K105" s="19">
        <f>+K106</f>
        <v>37227.451249999998</v>
      </c>
      <c r="L105" s="19">
        <f t="shared" ref="L105:AB105" si="24">+L106</f>
        <v>27920.588437499999</v>
      </c>
      <c r="M105" s="19">
        <f t="shared" si="24"/>
        <v>9306.8628124999996</v>
      </c>
      <c r="N105" s="19">
        <f t="shared" si="24"/>
        <v>0</v>
      </c>
      <c r="O105" s="19">
        <f t="shared" si="24"/>
        <v>827.43124999999998</v>
      </c>
      <c r="P105" s="19">
        <f t="shared" si="24"/>
        <v>18200.009999999998</v>
      </c>
      <c r="Q105" s="19">
        <f t="shared" si="24"/>
        <v>18200.009999999998</v>
      </c>
      <c r="R105" s="19">
        <f t="shared" si="24"/>
        <v>0</v>
      </c>
      <c r="S105" s="19">
        <f t="shared" si="24"/>
        <v>0</v>
      </c>
      <c r="T105" s="19">
        <f t="shared" si="24"/>
        <v>0</v>
      </c>
      <c r="U105" s="19">
        <f t="shared" si="24"/>
        <v>0</v>
      </c>
      <c r="V105" s="19">
        <f t="shared" si="24"/>
        <v>0</v>
      </c>
      <c r="W105" s="19">
        <f t="shared" si="24"/>
        <v>0</v>
      </c>
      <c r="X105" s="19">
        <f t="shared" si="24"/>
        <v>0</v>
      </c>
      <c r="Y105" s="19">
        <f t="shared" si="24"/>
        <v>0</v>
      </c>
      <c r="Z105" s="19">
        <f t="shared" si="24"/>
        <v>0</v>
      </c>
      <c r="AA105" s="19">
        <f t="shared" si="24"/>
        <v>0</v>
      </c>
      <c r="AB105" s="19">
        <f t="shared" si="24"/>
        <v>0</v>
      </c>
      <c r="AC105" s="42"/>
    </row>
    <row r="106" spans="1:32" ht="38.25" x14ac:dyDescent="0.2">
      <c r="A106" s="6">
        <v>411</v>
      </c>
      <c r="B106" s="9">
        <v>143</v>
      </c>
      <c r="C106" s="9">
        <v>115</v>
      </c>
      <c r="D106" s="9" t="s">
        <v>666</v>
      </c>
      <c r="E106" s="9" t="s">
        <v>665</v>
      </c>
      <c r="F106" s="9" t="s">
        <v>11</v>
      </c>
      <c r="G106" s="9" t="s">
        <v>36</v>
      </c>
      <c r="H106" s="9" t="s">
        <v>487</v>
      </c>
      <c r="I106" s="9" t="s">
        <v>18</v>
      </c>
      <c r="J106" s="9">
        <v>75</v>
      </c>
      <c r="K106" s="10">
        <v>37227.451249999998</v>
      </c>
      <c r="L106" s="10">
        <f>0.75*K106</f>
        <v>27920.588437499999</v>
      </c>
      <c r="M106" s="10">
        <f>+K106-L106</f>
        <v>9306.8628124999996</v>
      </c>
      <c r="N106" s="10"/>
      <c r="O106" s="10">
        <v>827.43124999999998</v>
      </c>
      <c r="P106" s="10">
        <v>18200.009999999998</v>
      </c>
      <c r="Q106" s="10">
        <v>18200.009999999998</v>
      </c>
      <c r="R106" s="10"/>
      <c r="S106" s="10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  <c r="AC106" s="39"/>
    </row>
    <row r="107" spans="1:32" ht="38.25" x14ac:dyDescent="0.2">
      <c r="A107" s="6">
        <v>412</v>
      </c>
      <c r="B107" s="8"/>
      <c r="C107" s="8">
        <v>115</v>
      </c>
      <c r="D107" s="8" t="s">
        <v>667</v>
      </c>
      <c r="E107" s="8" t="s">
        <v>668</v>
      </c>
      <c r="F107" s="8" t="s">
        <v>15</v>
      </c>
      <c r="G107" s="8"/>
      <c r="H107" s="8"/>
      <c r="I107" s="8"/>
      <c r="J107" s="8">
        <v>75</v>
      </c>
      <c r="K107" s="12">
        <f>+O107+P107+Q107</f>
        <v>37227.451249999998</v>
      </c>
      <c r="L107" s="12">
        <f>0.75*K107</f>
        <v>27920.588437499999</v>
      </c>
      <c r="M107" s="12">
        <f>0.25*K107</f>
        <v>9306.8628124999996</v>
      </c>
      <c r="N107" s="12"/>
      <c r="O107" s="12">
        <f>807.25*1.025</f>
        <v>827.43124999999998</v>
      </c>
      <c r="P107" s="12">
        <v>18200.009999999998</v>
      </c>
      <c r="Q107" s="12">
        <v>18200.009999999998</v>
      </c>
      <c r="R107" s="12"/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  <c r="AC107" s="41">
        <v>43465</v>
      </c>
    </row>
    <row r="108" spans="1:32" ht="21" customHeight="1" x14ac:dyDescent="0.2">
      <c r="A108" s="6">
        <v>413</v>
      </c>
      <c r="B108" s="25"/>
      <c r="C108" s="25"/>
      <c r="D108" s="25" t="s">
        <v>669</v>
      </c>
      <c r="E108" s="25" t="s">
        <v>670</v>
      </c>
      <c r="F108" s="25" t="s">
        <v>5</v>
      </c>
      <c r="G108" s="25"/>
      <c r="H108" s="25"/>
      <c r="I108" s="25"/>
      <c r="J108" s="25">
        <v>75</v>
      </c>
      <c r="K108" s="26">
        <v>109330.67</v>
      </c>
      <c r="L108" s="26">
        <v>81998</v>
      </c>
      <c r="M108" s="26">
        <v>27332.67</v>
      </c>
      <c r="N108" s="26">
        <v>0</v>
      </c>
      <c r="O108" s="26">
        <v>10946.12</v>
      </c>
      <c r="P108" s="26">
        <v>10946.12</v>
      </c>
      <c r="Q108" s="26">
        <v>29146.15</v>
      </c>
      <c r="R108" s="26">
        <v>29146.14</v>
      </c>
      <c r="S108" s="26">
        <v>29146.14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2">
        <v>0</v>
      </c>
      <c r="AC108" s="43"/>
      <c r="AD108" s="57" t="s">
        <v>824</v>
      </c>
      <c r="AE108" s="60">
        <f>+K108-K109</f>
        <v>0</v>
      </c>
      <c r="AF108" s="60">
        <f>+L108-L109</f>
        <v>-2.5000000023283064E-3</v>
      </c>
    </row>
    <row r="109" spans="1:32" ht="27.75" customHeight="1" x14ac:dyDescent="0.2">
      <c r="A109" s="6">
        <v>413</v>
      </c>
      <c r="B109" s="18"/>
      <c r="C109" s="18"/>
      <c r="D109" s="18" t="s">
        <v>669</v>
      </c>
      <c r="E109" s="18" t="s">
        <v>670</v>
      </c>
      <c r="F109" s="18" t="s">
        <v>5</v>
      </c>
      <c r="G109" s="18"/>
      <c r="H109" s="18"/>
      <c r="I109" s="18"/>
      <c r="J109" s="18">
        <v>75</v>
      </c>
      <c r="K109" s="19">
        <f>+K110+K112</f>
        <v>109330.67</v>
      </c>
      <c r="L109" s="19">
        <f t="shared" ref="L109:S109" si="25">+L110+L112</f>
        <v>81998.002500000002</v>
      </c>
      <c r="M109" s="19">
        <f t="shared" si="25"/>
        <v>27332.667500000003</v>
      </c>
      <c r="N109" s="19">
        <f t="shared" si="25"/>
        <v>0</v>
      </c>
      <c r="O109" s="19">
        <f t="shared" si="25"/>
        <v>3988.4112500000001</v>
      </c>
      <c r="P109" s="19">
        <f t="shared" si="25"/>
        <v>10946.12</v>
      </c>
      <c r="Q109" s="19">
        <f t="shared" si="25"/>
        <v>36103.858749999999</v>
      </c>
      <c r="R109" s="19">
        <f t="shared" si="25"/>
        <v>29146.14</v>
      </c>
      <c r="S109" s="19">
        <f t="shared" si="25"/>
        <v>29146.14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1">
        <v>0</v>
      </c>
      <c r="AC109" s="42"/>
    </row>
    <row r="110" spans="1:32" ht="51" x14ac:dyDescent="0.2">
      <c r="A110" s="6">
        <v>414</v>
      </c>
      <c r="B110" s="18"/>
      <c r="C110" s="18"/>
      <c r="D110" s="18" t="s">
        <v>671</v>
      </c>
      <c r="E110" s="18" t="s">
        <v>672</v>
      </c>
      <c r="F110" s="18" t="s">
        <v>8</v>
      </c>
      <c r="G110" s="18"/>
      <c r="H110" s="18"/>
      <c r="I110" s="18"/>
      <c r="J110" s="18">
        <v>75</v>
      </c>
      <c r="K110" s="19">
        <f>+K111</f>
        <v>54600.07</v>
      </c>
      <c r="L110" s="19">
        <f t="shared" ref="L110:AC110" si="26">+L111</f>
        <v>40950.052499999998</v>
      </c>
      <c r="M110" s="19">
        <f t="shared" si="26"/>
        <v>13650.017500000002</v>
      </c>
      <c r="N110" s="19">
        <f t="shared" si="26"/>
        <v>0</v>
      </c>
      <c r="O110" s="19">
        <f t="shared" si="26"/>
        <v>0</v>
      </c>
      <c r="P110" s="19">
        <f t="shared" si="26"/>
        <v>0</v>
      </c>
      <c r="Q110" s="19">
        <f t="shared" si="26"/>
        <v>18200.03</v>
      </c>
      <c r="R110" s="19">
        <f t="shared" si="26"/>
        <v>18200.02</v>
      </c>
      <c r="S110" s="19">
        <f t="shared" si="26"/>
        <v>18200.02</v>
      </c>
      <c r="T110" s="19">
        <f t="shared" si="26"/>
        <v>0</v>
      </c>
      <c r="U110" s="19">
        <f t="shared" si="26"/>
        <v>0</v>
      </c>
      <c r="V110" s="19">
        <f t="shared" si="26"/>
        <v>0</v>
      </c>
      <c r="W110" s="19">
        <f t="shared" si="26"/>
        <v>0</v>
      </c>
      <c r="X110" s="19">
        <f t="shared" si="26"/>
        <v>0</v>
      </c>
      <c r="Y110" s="19">
        <f t="shared" si="26"/>
        <v>0</v>
      </c>
      <c r="Z110" s="19">
        <f t="shared" si="26"/>
        <v>0</v>
      </c>
      <c r="AA110" s="19">
        <f t="shared" si="26"/>
        <v>0</v>
      </c>
      <c r="AB110" s="19">
        <f t="shared" si="26"/>
        <v>0</v>
      </c>
      <c r="AC110" s="19">
        <f t="shared" si="26"/>
        <v>0</v>
      </c>
    </row>
    <row r="111" spans="1:32" ht="38.25" x14ac:dyDescent="0.2">
      <c r="A111" s="6">
        <v>415</v>
      </c>
      <c r="B111" s="9">
        <v>144</v>
      </c>
      <c r="C111" s="9">
        <v>0</v>
      </c>
      <c r="D111" s="9" t="s">
        <v>673</v>
      </c>
      <c r="E111" s="9" t="s">
        <v>674</v>
      </c>
      <c r="F111" s="9" t="s">
        <v>11</v>
      </c>
      <c r="G111" s="9"/>
      <c r="H111" s="9" t="s">
        <v>487</v>
      </c>
      <c r="I111" s="9" t="s">
        <v>13</v>
      </c>
      <c r="J111" s="9">
        <v>75</v>
      </c>
      <c r="K111" s="10">
        <v>54600.07</v>
      </c>
      <c r="L111" s="10">
        <f>0.75*K111</f>
        <v>40950.052499999998</v>
      </c>
      <c r="M111" s="10">
        <f>+K111-L111</f>
        <v>13650.017500000002</v>
      </c>
      <c r="N111" s="10"/>
      <c r="O111" s="10"/>
      <c r="P111" s="10"/>
      <c r="Q111" s="10">
        <v>18200.03</v>
      </c>
      <c r="R111" s="10">
        <v>18200.02</v>
      </c>
      <c r="S111" s="10">
        <v>18200.02</v>
      </c>
      <c r="T111" s="1"/>
      <c r="U111" s="1"/>
      <c r="V111" s="1"/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2">
        <v>0</v>
      </c>
      <c r="AC111" s="39"/>
    </row>
    <row r="112" spans="1:32" ht="38.25" x14ac:dyDescent="0.2">
      <c r="A112" s="6">
        <v>416</v>
      </c>
      <c r="B112" s="18"/>
      <c r="C112" s="18"/>
      <c r="D112" s="18" t="s">
        <v>675</v>
      </c>
      <c r="E112" s="18" t="s">
        <v>676</v>
      </c>
      <c r="F112" s="18" t="s">
        <v>8</v>
      </c>
      <c r="G112" s="18"/>
      <c r="H112" s="18"/>
      <c r="I112" s="18"/>
      <c r="J112" s="18">
        <v>75</v>
      </c>
      <c r="K112" s="19">
        <f>+K113</f>
        <v>54730.6</v>
      </c>
      <c r="L112" s="19">
        <f t="shared" ref="L112:S112" si="27">+L113</f>
        <v>41047.949999999997</v>
      </c>
      <c r="M112" s="19">
        <f t="shared" si="27"/>
        <v>13682.650000000001</v>
      </c>
      <c r="N112" s="19">
        <f t="shared" si="27"/>
        <v>0</v>
      </c>
      <c r="O112" s="19">
        <f t="shared" si="27"/>
        <v>3988.4112500000001</v>
      </c>
      <c r="P112" s="19">
        <f t="shared" si="27"/>
        <v>10946.12</v>
      </c>
      <c r="Q112" s="19">
        <f t="shared" si="27"/>
        <v>17903.828750000001</v>
      </c>
      <c r="R112" s="19">
        <f t="shared" si="27"/>
        <v>10946.12</v>
      </c>
      <c r="S112" s="19">
        <f t="shared" si="27"/>
        <v>10946.12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4">
        <v>0</v>
      </c>
      <c r="AC112" s="42"/>
    </row>
    <row r="113" spans="1:32" ht="38.25" x14ac:dyDescent="0.2">
      <c r="A113" s="6">
        <v>417</v>
      </c>
      <c r="B113" s="9">
        <v>145</v>
      </c>
      <c r="C113" s="9">
        <v>116</v>
      </c>
      <c r="D113" s="9" t="s">
        <v>677</v>
      </c>
      <c r="E113" s="9" t="s">
        <v>678</v>
      </c>
      <c r="F113" s="9" t="s">
        <v>11</v>
      </c>
      <c r="G113" s="9" t="s">
        <v>36</v>
      </c>
      <c r="H113" s="9" t="s">
        <v>487</v>
      </c>
      <c r="I113" s="9" t="s">
        <v>18</v>
      </c>
      <c r="J113" s="9">
        <v>75</v>
      </c>
      <c r="K113" s="10">
        <v>54730.6</v>
      </c>
      <c r="L113" s="10">
        <f>0.75*K113</f>
        <v>41047.949999999997</v>
      </c>
      <c r="M113" s="10">
        <f>+K113-L113</f>
        <v>13682.650000000001</v>
      </c>
      <c r="N113" s="10"/>
      <c r="O113" s="10">
        <v>3988.4112500000001</v>
      </c>
      <c r="P113" s="10">
        <v>10946.12</v>
      </c>
      <c r="Q113" s="10">
        <v>17903.828750000001</v>
      </c>
      <c r="R113" s="10">
        <v>10946.12</v>
      </c>
      <c r="S113" s="10">
        <v>10946.12</v>
      </c>
      <c r="T113" s="1"/>
      <c r="U113" s="1"/>
      <c r="V113" s="1"/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2">
        <v>0</v>
      </c>
      <c r="AC113" s="39"/>
    </row>
    <row r="114" spans="1:32" ht="25.5" x14ac:dyDescent="0.2">
      <c r="A114" s="6">
        <v>418</v>
      </c>
      <c r="B114" s="8"/>
      <c r="C114" s="8">
        <v>116</v>
      </c>
      <c r="D114" s="8" t="s">
        <v>679</v>
      </c>
      <c r="E114" s="8" t="s">
        <v>678</v>
      </c>
      <c r="F114" s="8" t="s">
        <v>15</v>
      </c>
      <c r="G114" s="8"/>
      <c r="H114" s="8"/>
      <c r="I114" s="8"/>
      <c r="J114" s="8">
        <v>75</v>
      </c>
      <c r="K114" s="12">
        <v>32838.36</v>
      </c>
      <c r="L114" s="12">
        <v>24628.77</v>
      </c>
      <c r="M114" s="12">
        <v>8209.59</v>
      </c>
      <c r="N114" s="12"/>
      <c r="O114" s="12">
        <f>3710.15*1.075</f>
        <v>3988.4112500000001</v>
      </c>
      <c r="P114" s="12">
        <v>10946.12</v>
      </c>
      <c r="Q114" s="12">
        <f>+K114-O114-P114</f>
        <v>17903.828750000001</v>
      </c>
      <c r="R114" s="12"/>
      <c r="S114" s="12"/>
      <c r="T114" s="3"/>
      <c r="U114" s="3"/>
      <c r="V114" s="3"/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4">
        <v>0</v>
      </c>
      <c r="AC114" s="41">
        <v>43465</v>
      </c>
    </row>
    <row r="115" spans="1:32" ht="25.5" x14ac:dyDescent="0.2">
      <c r="A115" s="6">
        <v>419</v>
      </c>
      <c r="B115" s="25"/>
      <c r="C115" s="25"/>
      <c r="D115" s="25" t="s">
        <v>680</v>
      </c>
      <c r="E115" s="25" t="s">
        <v>681</v>
      </c>
      <c r="F115" s="25" t="s">
        <v>5</v>
      </c>
      <c r="G115" s="25"/>
      <c r="H115" s="25"/>
      <c r="I115" s="25"/>
      <c r="J115" s="25"/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/>
      <c r="Z115" s="1">
        <v>0</v>
      </c>
      <c r="AA115" s="1">
        <v>0</v>
      </c>
      <c r="AB115" s="2">
        <v>0</v>
      </c>
      <c r="AC115" s="43"/>
      <c r="AD115" s="57" t="s">
        <v>824</v>
      </c>
      <c r="AE115" s="60">
        <f>+K115-K116</f>
        <v>0</v>
      </c>
      <c r="AF115" s="60">
        <f>+L115-L116</f>
        <v>0</v>
      </c>
    </row>
    <row r="116" spans="1:32" ht="25.5" x14ac:dyDescent="0.2">
      <c r="A116" s="6">
        <v>419</v>
      </c>
      <c r="B116" s="18"/>
      <c r="C116" s="18"/>
      <c r="D116" s="18" t="s">
        <v>680</v>
      </c>
      <c r="E116" s="18" t="s">
        <v>681</v>
      </c>
      <c r="F116" s="18" t="s">
        <v>5</v>
      </c>
      <c r="G116" s="18"/>
      <c r="H116" s="18"/>
      <c r="I116" s="18"/>
      <c r="J116" s="18"/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/>
      <c r="Z116" s="1">
        <v>0</v>
      </c>
      <c r="AA116" s="1">
        <v>0</v>
      </c>
      <c r="AB116" s="2">
        <v>0</v>
      </c>
      <c r="AC116" s="42"/>
    </row>
    <row r="117" spans="1:32" x14ac:dyDescent="0.2">
      <c r="A117" s="6">
        <v>420</v>
      </c>
      <c r="B117" s="18"/>
      <c r="C117" s="18"/>
      <c r="D117" s="18" t="s">
        <v>682</v>
      </c>
      <c r="E117" s="18" t="s">
        <v>83</v>
      </c>
      <c r="F117" s="18" t="s">
        <v>8</v>
      </c>
      <c r="G117" s="18"/>
      <c r="H117" s="18"/>
      <c r="I117" s="18"/>
      <c r="J117" s="18"/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/>
      <c r="Z117" s="3">
        <v>0</v>
      </c>
      <c r="AA117" s="3">
        <v>0</v>
      </c>
      <c r="AB117" s="4">
        <v>0</v>
      </c>
      <c r="AC117" s="42"/>
    </row>
    <row r="118" spans="1:32" ht="31.5" hidden="1" customHeight="1" x14ac:dyDescent="0.2">
      <c r="A118" s="6">
        <v>421</v>
      </c>
      <c r="B118" s="25"/>
      <c r="C118" s="25"/>
      <c r="D118" s="25" t="s">
        <v>683</v>
      </c>
      <c r="E118" s="25" t="s">
        <v>684</v>
      </c>
      <c r="F118" s="25" t="s">
        <v>2</v>
      </c>
      <c r="G118" s="25"/>
      <c r="H118" s="25"/>
      <c r="I118" s="25"/>
      <c r="J118" s="25">
        <v>75</v>
      </c>
      <c r="K118" s="26">
        <v>1317605.6599999999</v>
      </c>
      <c r="L118" s="26">
        <v>988204.25</v>
      </c>
      <c r="M118" s="26">
        <v>329401.40999999997</v>
      </c>
      <c r="N118" s="26">
        <v>167106.6</v>
      </c>
      <c r="O118" s="26">
        <v>373087</v>
      </c>
      <c r="P118" s="26">
        <v>155249.4</v>
      </c>
      <c r="Q118" s="26">
        <v>155824</v>
      </c>
      <c r="R118" s="26">
        <v>0</v>
      </c>
      <c r="S118" s="26">
        <v>0</v>
      </c>
      <c r="T118" s="1">
        <v>0</v>
      </c>
      <c r="U118" s="1">
        <v>466338.66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  <c r="AC118" s="26"/>
    </row>
    <row r="119" spans="1:32" ht="31.5" hidden="1" customHeight="1" x14ac:dyDescent="0.2">
      <c r="A119" s="6">
        <v>421</v>
      </c>
      <c r="B119" s="18"/>
      <c r="C119" s="18"/>
      <c r="D119" s="18" t="s">
        <v>683</v>
      </c>
      <c r="E119" s="18" t="s">
        <v>684</v>
      </c>
      <c r="F119" s="18" t="s">
        <v>2</v>
      </c>
      <c r="G119" s="18"/>
      <c r="H119" s="18"/>
      <c r="I119" s="18"/>
      <c r="J119" s="18">
        <v>75</v>
      </c>
      <c r="K119" s="19">
        <v>1317605.6599999999</v>
      </c>
      <c r="L119" s="19">
        <v>988204.25</v>
      </c>
      <c r="M119" s="19">
        <v>329401.40999999997</v>
      </c>
      <c r="N119" s="19">
        <v>167106.6</v>
      </c>
      <c r="O119" s="19">
        <v>373087</v>
      </c>
      <c r="P119" s="19">
        <v>155249.4</v>
      </c>
      <c r="Q119" s="19">
        <v>155824</v>
      </c>
      <c r="R119" s="19">
        <v>0</v>
      </c>
      <c r="S119" s="19">
        <v>0</v>
      </c>
      <c r="T119" s="1">
        <v>0</v>
      </c>
      <c r="U119" s="1">
        <v>466338.66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2">
        <v>0</v>
      </c>
      <c r="AC119" s="19"/>
    </row>
    <row r="120" spans="1:32" hidden="1" x14ac:dyDescent="0.2">
      <c r="A120" s="6">
        <v>422</v>
      </c>
      <c r="B120" s="25"/>
      <c r="C120" s="25"/>
      <c r="D120" s="25" t="s">
        <v>685</v>
      </c>
      <c r="E120" s="25" t="s">
        <v>686</v>
      </c>
      <c r="F120" s="25" t="s">
        <v>5</v>
      </c>
      <c r="G120" s="25"/>
      <c r="H120" s="25"/>
      <c r="I120" s="25"/>
      <c r="J120" s="25">
        <v>75</v>
      </c>
      <c r="K120" s="26">
        <v>105413.33</v>
      </c>
      <c r="L120" s="26">
        <v>79060</v>
      </c>
      <c r="M120" s="26">
        <v>26353.33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3">
        <v>0</v>
      </c>
      <c r="U120" s="3">
        <v>105413.33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4">
        <v>0</v>
      </c>
      <c r="AC120" s="26"/>
    </row>
    <row r="121" spans="1:32" hidden="1" x14ac:dyDescent="0.2">
      <c r="A121" s="6">
        <v>422</v>
      </c>
      <c r="B121" s="18"/>
      <c r="C121" s="18"/>
      <c r="D121" s="18" t="s">
        <v>685</v>
      </c>
      <c r="E121" s="18" t="s">
        <v>686</v>
      </c>
      <c r="F121" s="18" t="s">
        <v>5</v>
      </c>
      <c r="G121" s="18"/>
      <c r="H121" s="18"/>
      <c r="I121" s="18"/>
      <c r="J121" s="18">
        <v>75</v>
      </c>
      <c r="K121" s="19">
        <v>105413.33</v>
      </c>
      <c r="L121" s="19">
        <v>79060</v>
      </c>
      <c r="M121" s="19">
        <v>26353.33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3">
        <v>0</v>
      </c>
      <c r="U121" s="3">
        <v>105413.33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  <c r="AC121" s="19"/>
    </row>
    <row r="122" spans="1:32" ht="38.25" hidden="1" x14ac:dyDescent="0.2">
      <c r="A122" s="6">
        <v>423</v>
      </c>
      <c r="B122" s="18"/>
      <c r="C122" s="18"/>
      <c r="D122" s="18" t="s">
        <v>687</v>
      </c>
      <c r="E122" s="18" t="s">
        <v>688</v>
      </c>
      <c r="F122" s="18" t="s">
        <v>8</v>
      </c>
      <c r="G122" s="18"/>
      <c r="H122" s="18"/>
      <c r="I122" s="18"/>
      <c r="J122" s="18">
        <v>75</v>
      </c>
      <c r="K122" s="19">
        <v>105413.33</v>
      </c>
      <c r="L122" s="19">
        <v>79060</v>
      </c>
      <c r="M122" s="19">
        <v>26353.33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">
        <v>0</v>
      </c>
      <c r="U122" s="1">
        <v>105413.33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  <c r="AC122" s="19"/>
    </row>
    <row r="123" spans="1:32" ht="38.25" hidden="1" x14ac:dyDescent="0.2">
      <c r="A123" s="6">
        <v>425</v>
      </c>
      <c r="B123" s="18"/>
      <c r="C123" s="18"/>
      <c r="D123" s="18" t="s">
        <v>689</v>
      </c>
      <c r="E123" s="18" t="s">
        <v>690</v>
      </c>
      <c r="F123" s="18" t="s">
        <v>8</v>
      </c>
      <c r="G123" s="18"/>
      <c r="H123" s="18"/>
      <c r="I123" s="18"/>
      <c r="J123" s="18"/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/>
      <c r="Z123" s="1">
        <v>0</v>
      </c>
      <c r="AA123" s="1">
        <v>0</v>
      </c>
      <c r="AB123" s="2">
        <v>0</v>
      </c>
      <c r="AC123" s="19"/>
    </row>
    <row r="124" spans="1:32" ht="38.25" hidden="1" x14ac:dyDescent="0.2">
      <c r="A124" s="6">
        <v>426</v>
      </c>
      <c r="B124" s="18"/>
      <c r="C124" s="18"/>
      <c r="D124" s="18" t="s">
        <v>691</v>
      </c>
      <c r="E124" s="18" t="s">
        <v>692</v>
      </c>
      <c r="F124" s="18" t="s">
        <v>8</v>
      </c>
      <c r="G124" s="18"/>
      <c r="H124" s="18"/>
      <c r="I124" s="18"/>
      <c r="J124" s="18"/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/>
      <c r="Z124" s="3">
        <v>0</v>
      </c>
      <c r="AA124" s="3">
        <v>0</v>
      </c>
      <c r="AB124" s="4">
        <v>0</v>
      </c>
      <c r="AC124" s="19"/>
    </row>
    <row r="125" spans="1:32" ht="20.25" hidden="1" customHeight="1" x14ac:dyDescent="0.2">
      <c r="A125" s="6">
        <v>427</v>
      </c>
      <c r="B125" s="25"/>
      <c r="C125" s="25"/>
      <c r="D125" s="25" t="s">
        <v>693</v>
      </c>
      <c r="E125" s="25" t="s">
        <v>694</v>
      </c>
      <c r="F125" s="25" t="s">
        <v>5</v>
      </c>
      <c r="G125" s="25"/>
      <c r="H125" s="25"/>
      <c r="I125" s="25"/>
      <c r="J125" s="25"/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/>
      <c r="Z125" s="1">
        <v>0</v>
      </c>
      <c r="AA125" s="1">
        <v>0</v>
      </c>
      <c r="AB125" s="2">
        <v>0</v>
      </c>
      <c r="AC125" s="26"/>
    </row>
    <row r="126" spans="1:32" hidden="1" x14ac:dyDescent="0.2">
      <c r="A126" s="6">
        <v>427</v>
      </c>
      <c r="B126" s="18"/>
      <c r="C126" s="18"/>
      <c r="D126" s="18" t="s">
        <v>693</v>
      </c>
      <c r="E126" s="18" t="s">
        <v>694</v>
      </c>
      <c r="F126" s="18" t="s">
        <v>5</v>
      </c>
      <c r="G126" s="18"/>
      <c r="H126" s="18"/>
      <c r="I126" s="18"/>
      <c r="J126" s="18"/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/>
      <c r="Z126" s="1">
        <v>0</v>
      </c>
      <c r="AA126" s="1">
        <v>0</v>
      </c>
      <c r="AB126" s="2">
        <v>0</v>
      </c>
      <c r="AC126" s="19"/>
    </row>
    <row r="127" spans="1:32" hidden="1" x14ac:dyDescent="0.2">
      <c r="A127" s="6">
        <v>428</v>
      </c>
      <c r="B127" s="18"/>
      <c r="C127" s="18"/>
      <c r="D127" s="18" t="s">
        <v>695</v>
      </c>
      <c r="E127" s="18" t="s">
        <v>83</v>
      </c>
      <c r="F127" s="18" t="s">
        <v>8</v>
      </c>
      <c r="G127" s="18"/>
      <c r="H127" s="18"/>
      <c r="I127" s="18"/>
      <c r="J127" s="18"/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/>
      <c r="Z127" s="3">
        <v>0</v>
      </c>
      <c r="AA127" s="3">
        <v>0</v>
      </c>
      <c r="AB127" s="4">
        <v>0</v>
      </c>
      <c r="AC127" s="19"/>
    </row>
    <row r="128" spans="1:32" ht="16.5" hidden="1" customHeight="1" x14ac:dyDescent="0.2">
      <c r="A128" s="6"/>
      <c r="B128" s="25"/>
      <c r="C128" s="25"/>
      <c r="D128" s="25" t="s">
        <v>696</v>
      </c>
      <c r="E128" s="25" t="s">
        <v>697</v>
      </c>
      <c r="F128" s="25" t="s">
        <v>5</v>
      </c>
      <c r="G128" s="25"/>
      <c r="H128" s="25"/>
      <c r="I128" s="25"/>
      <c r="J128" s="25">
        <v>75</v>
      </c>
      <c r="K128" s="26">
        <v>316232</v>
      </c>
      <c r="L128" s="26">
        <v>237174</v>
      </c>
      <c r="M128" s="26">
        <v>79058</v>
      </c>
      <c r="N128" s="26">
        <v>0</v>
      </c>
      <c r="O128" s="26">
        <v>30000</v>
      </c>
      <c r="P128" s="26">
        <v>20000</v>
      </c>
      <c r="Q128" s="26">
        <v>0</v>
      </c>
      <c r="R128" s="26">
        <v>0</v>
      </c>
      <c r="S128" s="26">
        <v>0</v>
      </c>
      <c r="T128" s="3"/>
      <c r="U128" s="3"/>
      <c r="V128" s="3"/>
      <c r="W128" s="3"/>
      <c r="X128" s="3"/>
      <c r="Y128" s="3"/>
      <c r="Z128" s="3"/>
      <c r="AA128" s="3"/>
      <c r="AB128" s="4"/>
      <c r="AC128" s="26"/>
    </row>
    <row r="129" spans="1:29" hidden="1" x14ac:dyDescent="0.2">
      <c r="A129" s="6">
        <v>429</v>
      </c>
      <c r="B129" s="18"/>
      <c r="C129" s="18"/>
      <c r="D129" s="18" t="s">
        <v>696</v>
      </c>
      <c r="E129" s="18" t="s">
        <v>697</v>
      </c>
      <c r="F129" s="18" t="s">
        <v>5</v>
      </c>
      <c r="G129" s="18"/>
      <c r="H129" s="18"/>
      <c r="I129" s="18"/>
      <c r="J129" s="18">
        <v>75</v>
      </c>
      <c r="K129" s="19">
        <v>316232</v>
      </c>
      <c r="L129" s="19">
        <v>237174</v>
      </c>
      <c r="M129" s="19">
        <v>79058</v>
      </c>
      <c r="N129" s="19">
        <v>0</v>
      </c>
      <c r="O129" s="19">
        <v>30000</v>
      </c>
      <c r="P129" s="19">
        <v>20000</v>
      </c>
      <c r="Q129" s="19">
        <v>0</v>
      </c>
      <c r="R129" s="19">
        <v>0</v>
      </c>
      <c r="S129" s="19">
        <v>0</v>
      </c>
      <c r="T129" s="1">
        <v>0</v>
      </c>
      <c r="U129" s="1">
        <v>266232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2">
        <v>0</v>
      </c>
      <c r="AC129" s="19"/>
    </row>
    <row r="130" spans="1:29" ht="38.25" hidden="1" x14ac:dyDescent="0.2">
      <c r="A130" s="6">
        <v>430</v>
      </c>
      <c r="B130" s="18"/>
      <c r="C130" s="18"/>
      <c r="D130" s="18" t="s">
        <v>698</v>
      </c>
      <c r="E130" s="18" t="s">
        <v>699</v>
      </c>
      <c r="F130" s="18" t="s">
        <v>8</v>
      </c>
      <c r="G130" s="18"/>
      <c r="H130" s="18"/>
      <c r="I130" s="18"/>
      <c r="J130" s="18">
        <v>75</v>
      </c>
      <c r="K130" s="19">
        <v>50000</v>
      </c>
      <c r="L130" s="19">
        <v>37500</v>
      </c>
      <c r="M130" s="19">
        <v>12500</v>
      </c>
      <c r="N130" s="19">
        <v>0</v>
      </c>
      <c r="O130" s="19">
        <v>11500</v>
      </c>
      <c r="P130" s="19">
        <v>36632</v>
      </c>
      <c r="Q130" s="19">
        <v>1868</v>
      </c>
      <c r="R130" s="19">
        <v>0</v>
      </c>
      <c r="S130" s="19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4">
        <v>0</v>
      </c>
      <c r="AC130" s="19"/>
    </row>
    <row r="131" spans="1:29" ht="51" hidden="1" x14ac:dyDescent="0.2">
      <c r="A131" s="6">
        <v>431</v>
      </c>
      <c r="B131" s="9">
        <v>146</v>
      </c>
      <c r="C131" s="9">
        <v>117</v>
      </c>
      <c r="D131" s="9" t="s">
        <v>700</v>
      </c>
      <c r="E131" s="9" t="s">
        <v>701</v>
      </c>
      <c r="F131" s="9" t="s">
        <v>11</v>
      </c>
      <c r="G131" s="9"/>
      <c r="H131" s="9" t="s">
        <v>702</v>
      </c>
      <c r="I131" s="9" t="s">
        <v>18</v>
      </c>
      <c r="J131" s="9">
        <v>75</v>
      </c>
      <c r="K131" s="10">
        <v>50000</v>
      </c>
      <c r="L131" s="10">
        <v>37500</v>
      </c>
      <c r="M131" s="10">
        <v>12500</v>
      </c>
      <c r="N131" s="10"/>
      <c r="O131" s="10">
        <v>11500</v>
      </c>
      <c r="P131" s="10">
        <v>36632</v>
      </c>
      <c r="Q131" s="10">
        <v>1868</v>
      </c>
      <c r="R131" s="10"/>
      <c r="S131" s="10"/>
      <c r="T131" s="1"/>
      <c r="U131" s="1"/>
      <c r="V131" s="1"/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2">
        <v>0</v>
      </c>
      <c r="AC131" s="10"/>
    </row>
    <row r="132" spans="1:29" ht="51" hidden="1" x14ac:dyDescent="0.2">
      <c r="A132" s="6">
        <v>432</v>
      </c>
      <c r="B132" s="8"/>
      <c r="C132" s="8">
        <v>117</v>
      </c>
      <c r="D132" s="8" t="s">
        <v>703</v>
      </c>
      <c r="E132" s="8" t="s">
        <v>704</v>
      </c>
      <c r="F132" s="8" t="s">
        <v>15</v>
      </c>
      <c r="G132" s="8"/>
      <c r="H132" s="8"/>
      <c r="I132" s="8"/>
      <c r="J132" s="8">
        <v>75</v>
      </c>
      <c r="K132" s="12">
        <v>50000</v>
      </c>
      <c r="L132" s="12">
        <v>37500</v>
      </c>
      <c r="M132" s="12">
        <v>12500</v>
      </c>
      <c r="N132" s="12"/>
      <c r="O132" s="12">
        <v>11500</v>
      </c>
      <c r="P132" s="12">
        <v>36632</v>
      </c>
      <c r="Q132" s="12">
        <v>1868</v>
      </c>
      <c r="R132" s="12"/>
      <c r="S132" s="12"/>
      <c r="T132" s="3"/>
      <c r="U132" s="3"/>
      <c r="V132" s="3"/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4">
        <v>0</v>
      </c>
      <c r="AC132" s="12"/>
    </row>
    <row r="133" spans="1:29" ht="51" hidden="1" x14ac:dyDescent="0.2">
      <c r="A133" s="6">
        <v>433</v>
      </c>
      <c r="B133" s="18"/>
      <c r="C133" s="18"/>
      <c r="D133" s="18" t="s">
        <v>705</v>
      </c>
      <c r="E133" s="18" t="s">
        <v>706</v>
      </c>
      <c r="F133" s="18" t="s">
        <v>8</v>
      </c>
      <c r="G133" s="18"/>
      <c r="H133" s="18"/>
      <c r="I133" s="18"/>
      <c r="J133" s="18">
        <v>75</v>
      </c>
      <c r="K133" s="19">
        <v>266232</v>
      </c>
      <c r="L133" s="19">
        <v>199674</v>
      </c>
      <c r="M133" s="19">
        <v>66558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">
        <v>0</v>
      </c>
      <c r="U133" s="1">
        <v>266232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2">
        <v>0</v>
      </c>
      <c r="AC133" s="19"/>
    </row>
    <row r="134" spans="1:29" ht="51" hidden="1" x14ac:dyDescent="0.2">
      <c r="A134" s="6">
        <v>435</v>
      </c>
      <c r="B134" s="18"/>
      <c r="C134" s="18"/>
      <c r="D134" s="18" t="s">
        <v>707</v>
      </c>
      <c r="E134" s="18" t="s">
        <v>708</v>
      </c>
      <c r="F134" s="18" t="s">
        <v>8</v>
      </c>
      <c r="G134" s="18"/>
      <c r="H134" s="18"/>
      <c r="I134" s="18"/>
      <c r="J134" s="18"/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/>
      <c r="Z134" s="1">
        <v>0</v>
      </c>
      <c r="AA134" s="1">
        <v>0</v>
      </c>
      <c r="AB134" s="2">
        <v>0</v>
      </c>
      <c r="AC134" s="19"/>
    </row>
    <row r="135" spans="1:29" ht="51" hidden="1" x14ac:dyDescent="0.2">
      <c r="A135" s="6">
        <v>436</v>
      </c>
      <c r="B135" s="18"/>
      <c r="C135" s="18"/>
      <c r="D135" s="18" t="s">
        <v>709</v>
      </c>
      <c r="E135" s="18" t="s">
        <v>710</v>
      </c>
      <c r="F135" s="18" t="s">
        <v>8</v>
      </c>
      <c r="G135" s="18"/>
      <c r="H135" s="18"/>
      <c r="I135" s="18"/>
      <c r="J135" s="18"/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/>
      <c r="Z135" s="3">
        <v>0</v>
      </c>
      <c r="AA135" s="3">
        <v>0</v>
      </c>
      <c r="AB135" s="4">
        <v>0</v>
      </c>
      <c r="AC135" s="19"/>
    </row>
    <row r="136" spans="1:29" ht="18.75" hidden="1" customHeight="1" x14ac:dyDescent="0.2">
      <c r="A136" s="6">
        <v>437</v>
      </c>
      <c r="B136" s="25"/>
      <c r="C136" s="25"/>
      <c r="D136" s="25" t="s">
        <v>711</v>
      </c>
      <c r="E136" s="25" t="s">
        <v>712</v>
      </c>
      <c r="F136" s="25" t="s">
        <v>5</v>
      </c>
      <c r="G136" s="25"/>
      <c r="H136" s="25"/>
      <c r="I136" s="25"/>
      <c r="J136" s="25">
        <v>75</v>
      </c>
      <c r="K136" s="26">
        <v>65867</v>
      </c>
      <c r="L136" s="26">
        <v>49400.25</v>
      </c>
      <c r="M136" s="26">
        <v>16466.75</v>
      </c>
      <c r="N136" s="26">
        <v>14867</v>
      </c>
      <c r="O136" s="26">
        <v>29000</v>
      </c>
      <c r="P136" s="26">
        <v>22000</v>
      </c>
      <c r="Q136" s="26">
        <v>0</v>
      </c>
      <c r="R136" s="26">
        <v>0</v>
      </c>
      <c r="S136" s="26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  <c r="AC136" s="26"/>
    </row>
    <row r="137" spans="1:29" hidden="1" x14ac:dyDescent="0.2">
      <c r="A137" s="17">
        <v>437</v>
      </c>
      <c r="B137" s="18"/>
      <c r="C137" s="18"/>
      <c r="D137" s="18" t="s">
        <v>711</v>
      </c>
      <c r="E137" s="18" t="s">
        <v>712</v>
      </c>
      <c r="F137" s="18" t="s">
        <v>5</v>
      </c>
      <c r="G137" s="18"/>
      <c r="H137" s="18"/>
      <c r="I137" s="18"/>
      <c r="J137" s="18">
        <v>75</v>
      </c>
      <c r="K137" s="19">
        <v>65867</v>
      </c>
      <c r="L137" s="19">
        <v>49400.25</v>
      </c>
      <c r="M137" s="19">
        <v>16466.75</v>
      </c>
      <c r="N137" s="19">
        <v>14867</v>
      </c>
      <c r="O137" s="19">
        <v>29000</v>
      </c>
      <c r="P137" s="19">
        <v>22000</v>
      </c>
      <c r="Q137" s="19">
        <v>0</v>
      </c>
      <c r="R137" s="19">
        <v>0</v>
      </c>
      <c r="S137" s="19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1">
        <v>0</v>
      </c>
      <c r="AC137" s="19"/>
    </row>
    <row r="138" spans="1:29" ht="38.25" hidden="1" x14ac:dyDescent="0.2">
      <c r="A138" s="17">
        <v>438</v>
      </c>
      <c r="B138" s="18"/>
      <c r="C138" s="18"/>
      <c r="D138" s="18" t="s">
        <v>713</v>
      </c>
      <c r="E138" s="18" t="s">
        <v>714</v>
      </c>
      <c r="F138" s="18" t="s">
        <v>8</v>
      </c>
      <c r="G138" s="18"/>
      <c r="H138" s="18"/>
      <c r="I138" s="18"/>
      <c r="J138" s="18">
        <v>75</v>
      </c>
      <c r="K138" s="19">
        <v>65867</v>
      </c>
      <c r="L138" s="19">
        <v>49400.25</v>
      </c>
      <c r="M138" s="19">
        <v>16466.75</v>
      </c>
      <c r="N138" s="19">
        <v>14867</v>
      </c>
      <c r="O138" s="19">
        <v>29000</v>
      </c>
      <c r="P138" s="19">
        <v>22000</v>
      </c>
      <c r="Q138" s="19">
        <v>0</v>
      </c>
      <c r="R138" s="19">
        <v>0</v>
      </c>
      <c r="S138" s="19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1">
        <v>0</v>
      </c>
      <c r="AC138" s="19"/>
    </row>
    <row r="139" spans="1:29" ht="38.25" hidden="1" x14ac:dyDescent="0.2">
      <c r="A139" s="6">
        <v>439</v>
      </c>
      <c r="B139" s="9">
        <v>147</v>
      </c>
      <c r="C139" s="9">
        <v>118</v>
      </c>
      <c r="D139" s="9" t="s">
        <v>715</v>
      </c>
      <c r="E139" s="9" t="s">
        <v>716</v>
      </c>
      <c r="F139" s="9" t="s">
        <v>11</v>
      </c>
      <c r="G139" s="9"/>
      <c r="H139" s="9" t="s">
        <v>717</v>
      </c>
      <c r="I139" s="9" t="s">
        <v>18</v>
      </c>
      <c r="J139" s="9">
        <v>75</v>
      </c>
      <c r="K139" s="10">
        <v>65867</v>
      </c>
      <c r="L139" s="10">
        <v>49400.25</v>
      </c>
      <c r="M139" s="10">
        <v>16466.75</v>
      </c>
      <c r="N139" s="10">
        <v>14867</v>
      </c>
      <c r="O139" s="10">
        <v>29000</v>
      </c>
      <c r="P139" s="10">
        <v>22000</v>
      </c>
      <c r="Q139" s="10"/>
      <c r="R139" s="10"/>
      <c r="S139" s="10"/>
      <c r="T139" s="1"/>
      <c r="U139" s="1"/>
      <c r="V139" s="1"/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2">
        <v>0</v>
      </c>
      <c r="AC139" s="10"/>
    </row>
    <row r="140" spans="1:29" ht="51" hidden="1" x14ac:dyDescent="0.2">
      <c r="A140" s="6">
        <v>440</v>
      </c>
      <c r="B140" s="8"/>
      <c r="C140" s="8">
        <v>118</v>
      </c>
      <c r="D140" s="8" t="s">
        <v>718</v>
      </c>
      <c r="E140" s="8" t="s">
        <v>719</v>
      </c>
      <c r="F140" s="8" t="s">
        <v>15</v>
      </c>
      <c r="G140" s="8"/>
      <c r="H140" s="8"/>
      <c r="I140" s="8"/>
      <c r="J140" s="8">
        <v>75</v>
      </c>
      <c r="K140" s="12">
        <v>65867</v>
      </c>
      <c r="L140" s="12">
        <v>49400.25</v>
      </c>
      <c r="M140" s="12">
        <v>16466.75</v>
      </c>
      <c r="N140" s="12">
        <v>14867</v>
      </c>
      <c r="O140" s="12">
        <v>29000</v>
      </c>
      <c r="P140" s="12">
        <v>22000</v>
      </c>
      <c r="Q140" s="12"/>
      <c r="R140" s="12"/>
      <c r="S140" s="12"/>
      <c r="T140" s="3"/>
      <c r="U140" s="3"/>
      <c r="V140" s="3"/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4">
        <v>0</v>
      </c>
      <c r="AC140" s="12"/>
    </row>
    <row r="141" spans="1:29" ht="20.25" hidden="1" customHeight="1" x14ac:dyDescent="0.2">
      <c r="A141" s="6">
        <v>441</v>
      </c>
      <c r="B141" s="25"/>
      <c r="C141" s="25"/>
      <c r="D141" s="25" t="s">
        <v>720</v>
      </c>
      <c r="E141" s="25" t="s">
        <v>721</v>
      </c>
      <c r="F141" s="25" t="s">
        <v>5</v>
      </c>
      <c r="G141" s="25"/>
      <c r="H141" s="25"/>
      <c r="I141" s="25"/>
      <c r="J141" s="25">
        <v>75</v>
      </c>
      <c r="K141" s="26">
        <v>423644</v>
      </c>
      <c r="L141" s="26">
        <v>326120</v>
      </c>
      <c r="M141" s="26">
        <v>108706.67</v>
      </c>
      <c r="N141" s="26">
        <v>86639.6</v>
      </c>
      <c r="O141" s="26">
        <v>167931</v>
      </c>
      <c r="P141" s="26">
        <v>28249.4</v>
      </c>
      <c r="Q141" s="26">
        <v>140824</v>
      </c>
      <c r="R141" s="26">
        <v>0</v>
      </c>
      <c r="S141" s="26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2">
        <v>0</v>
      </c>
      <c r="AC141" s="26"/>
    </row>
    <row r="142" spans="1:29" hidden="1" x14ac:dyDescent="0.2">
      <c r="A142" s="6">
        <v>441</v>
      </c>
      <c r="B142" s="18"/>
      <c r="C142" s="18"/>
      <c r="D142" s="18" t="s">
        <v>720</v>
      </c>
      <c r="E142" s="18" t="s">
        <v>721</v>
      </c>
      <c r="F142" s="18" t="s">
        <v>5</v>
      </c>
      <c r="G142" s="18"/>
      <c r="H142" s="18"/>
      <c r="I142" s="18"/>
      <c r="J142" s="18">
        <v>75</v>
      </c>
      <c r="K142" s="19">
        <v>423644</v>
      </c>
      <c r="L142" s="19">
        <v>326120</v>
      </c>
      <c r="M142" s="19">
        <v>108706.67</v>
      </c>
      <c r="N142" s="19">
        <v>86639.6</v>
      </c>
      <c r="O142" s="19">
        <v>167931</v>
      </c>
      <c r="P142" s="19">
        <v>28249.4</v>
      </c>
      <c r="Q142" s="19">
        <v>140824</v>
      </c>
      <c r="R142" s="19">
        <v>0</v>
      </c>
      <c r="S142" s="19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  <c r="AC142" s="19"/>
    </row>
    <row r="143" spans="1:29" ht="38.25" hidden="1" x14ac:dyDescent="0.2">
      <c r="A143" s="6">
        <v>442</v>
      </c>
      <c r="B143" s="18"/>
      <c r="C143" s="18"/>
      <c r="D143" s="18" t="s">
        <v>722</v>
      </c>
      <c r="E143" s="18" t="s">
        <v>723</v>
      </c>
      <c r="F143" s="18" t="s">
        <v>8</v>
      </c>
      <c r="G143" s="18"/>
      <c r="H143" s="18"/>
      <c r="I143" s="18"/>
      <c r="J143" s="18">
        <v>75</v>
      </c>
      <c r="K143" s="19">
        <v>291400</v>
      </c>
      <c r="L143" s="19">
        <v>218550</v>
      </c>
      <c r="M143" s="19">
        <v>72850</v>
      </c>
      <c r="N143" s="19">
        <v>0</v>
      </c>
      <c r="O143" s="19">
        <v>140000</v>
      </c>
      <c r="P143" s="19">
        <v>151400</v>
      </c>
      <c r="Q143" s="19">
        <v>0</v>
      </c>
      <c r="R143" s="19">
        <v>0</v>
      </c>
      <c r="S143" s="19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  <c r="AC143" s="19"/>
    </row>
    <row r="144" spans="1:29" ht="38.25" hidden="1" x14ac:dyDescent="0.2">
      <c r="A144" s="6">
        <v>443</v>
      </c>
      <c r="B144" s="9">
        <v>148</v>
      </c>
      <c r="C144" s="9">
        <v>119</v>
      </c>
      <c r="D144" s="9" t="s">
        <v>724</v>
      </c>
      <c r="E144" s="9" t="s">
        <v>725</v>
      </c>
      <c r="F144" s="9" t="s">
        <v>11</v>
      </c>
      <c r="G144" s="9"/>
      <c r="H144" s="9" t="s">
        <v>702</v>
      </c>
      <c r="I144" s="9" t="s">
        <v>18</v>
      </c>
      <c r="J144" s="9">
        <v>75</v>
      </c>
      <c r="K144" s="10">
        <v>140000</v>
      </c>
      <c r="L144" s="10">
        <v>105000</v>
      </c>
      <c r="M144" s="10">
        <v>35000</v>
      </c>
      <c r="N144" s="10">
        <v>0</v>
      </c>
      <c r="O144" s="10">
        <v>140000</v>
      </c>
      <c r="P144" s="10"/>
      <c r="Q144" s="10"/>
      <c r="R144" s="10"/>
      <c r="S144" s="10"/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  <c r="AC144" s="10"/>
    </row>
    <row r="145" spans="1:29" ht="51" hidden="1" x14ac:dyDescent="0.2">
      <c r="A145" s="6">
        <v>444</v>
      </c>
      <c r="B145" s="8"/>
      <c r="C145" s="8">
        <v>119</v>
      </c>
      <c r="D145" s="8" t="s">
        <v>726</v>
      </c>
      <c r="E145" s="8" t="s">
        <v>727</v>
      </c>
      <c r="F145" s="8" t="s">
        <v>15</v>
      </c>
      <c r="G145" s="8"/>
      <c r="H145" s="8"/>
      <c r="I145" s="8"/>
      <c r="J145" s="8">
        <v>75</v>
      </c>
      <c r="K145" s="12">
        <v>140000</v>
      </c>
      <c r="L145" s="12">
        <v>105000</v>
      </c>
      <c r="M145" s="12">
        <v>35000</v>
      </c>
      <c r="N145" s="12"/>
      <c r="O145" s="12">
        <v>140000</v>
      </c>
      <c r="P145" s="12"/>
      <c r="Q145" s="12"/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  <c r="AC145" s="12"/>
    </row>
    <row r="146" spans="1:29" ht="38.25" hidden="1" x14ac:dyDescent="0.2">
      <c r="A146" s="6">
        <v>445</v>
      </c>
      <c r="B146" s="9">
        <v>149</v>
      </c>
      <c r="C146" s="9">
        <v>120</v>
      </c>
      <c r="D146" s="9" t="s">
        <v>728</v>
      </c>
      <c r="E146" s="9" t="s">
        <v>729</v>
      </c>
      <c r="F146" s="9" t="s">
        <v>11</v>
      </c>
      <c r="G146" s="9"/>
      <c r="H146" s="9" t="s">
        <v>702</v>
      </c>
      <c r="I146" s="9" t="s">
        <v>18</v>
      </c>
      <c r="J146" s="9">
        <v>75</v>
      </c>
      <c r="K146" s="10">
        <v>151400</v>
      </c>
      <c r="L146" s="10">
        <v>113550</v>
      </c>
      <c r="M146" s="10">
        <v>37850</v>
      </c>
      <c r="N146" s="10"/>
      <c r="O146" s="10"/>
      <c r="P146" s="10">
        <v>151400</v>
      </c>
      <c r="Q146" s="10"/>
      <c r="R146" s="10"/>
      <c r="S146" s="10"/>
      <c r="T146" s="1"/>
      <c r="U146" s="1"/>
      <c r="V146" s="1"/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  <c r="AC146" s="10"/>
    </row>
    <row r="147" spans="1:29" ht="38.25" hidden="1" x14ac:dyDescent="0.2">
      <c r="A147" s="6">
        <v>446</v>
      </c>
      <c r="B147" s="8"/>
      <c r="C147" s="8">
        <v>120</v>
      </c>
      <c r="D147" s="8" t="s">
        <v>730</v>
      </c>
      <c r="E147" s="8" t="s">
        <v>731</v>
      </c>
      <c r="F147" s="8" t="s">
        <v>15</v>
      </c>
      <c r="G147" s="8"/>
      <c r="H147" s="8"/>
      <c r="I147" s="8"/>
      <c r="J147" s="8">
        <v>75</v>
      </c>
      <c r="K147" s="12">
        <v>151400</v>
      </c>
      <c r="L147" s="12">
        <v>113550</v>
      </c>
      <c r="M147" s="12">
        <v>37850</v>
      </c>
      <c r="N147" s="12"/>
      <c r="O147" s="12"/>
      <c r="P147" s="12">
        <v>151400</v>
      </c>
      <c r="Q147" s="12"/>
      <c r="R147" s="12"/>
      <c r="S147" s="12"/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  <c r="AC147" s="12"/>
    </row>
    <row r="148" spans="1:29" ht="38.25" hidden="1" x14ac:dyDescent="0.2">
      <c r="A148" s="17">
        <v>447</v>
      </c>
      <c r="B148" s="18"/>
      <c r="C148" s="18"/>
      <c r="D148" s="18" t="s">
        <v>732</v>
      </c>
      <c r="E148" s="18" t="s">
        <v>733</v>
      </c>
      <c r="F148" s="18" t="s">
        <v>8</v>
      </c>
      <c r="G148" s="18"/>
      <c r="H148" s="18"/>
      <c r="I148" s="18"/>
      <c r="J148" s="18">
        <v>75</v>
      </c>
      <c r="K148" s="19">
        <v>66320</v>
      </c>
      <c r="L148" s="19">
        <v>49740</v>
      </c>
      <c r="M148" s="19">
        <v>16580</v>
      </c>
      <c r="N148" s="19">
        <v>66320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2">
        <v>0</v>
      </c>
      <c r="AC148" s="19"/>
    </row>
    <row r="149" spans="1:29" ht="38.25" hidden="1" x14ac:dyDescent="0.2">
      <c r="A149" s="6">
        <v>448</v>
      </c>
      <c r="B149" s="9">
        <v>150</v>
      </c>
      <c r="C149" s="9">
        <v>121</v>
      </c>
      <c r="D149" s="9" t="s">
        <v>734</v>
      </c>
      <c r="E149" s="9" t="s">
        <v>735</v>
      </c>
      <c r="F149" s="9" t="s">
        <v>11</v>
      </c>
      <c r="G149" s="9"/>
      <c r="H149" s="9" t="s">
        <v>717</v>
      </c>
      <c r="I149" s="9" t="s">
        <v>18</v>
      </c>
      <c r="J149" s="9">
        <v>75</v>
      </c>
      <c r="K149" s="10">
        <v>66320</v>
      </c>
      <c r="L149" s="10">
        <v>49740</v>
      </c>
      <c r="M149" s="10">
        <v>16580</v>
      </c>
      <c r="N149" s="10">
        <v>66320</v>
      </c>
      <c r="O149" s="10"/>
      <c r="P149" s="10"/>
      <c r="Q149" s="10"/>
      <c r="R149" s="10"/>
      <c r="S149" s="10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  <c r="AC149" s="10"/>
    </row>
    <row r="150" spans="1:29" ht="51" hidden="1" x14ac:dyDescent="0.2">
      <c r="A150" s="6">
        <v>449</v>
      </c>
      <c r="B150" s="22"/>
      <c r="C150" s="22">
        <v>121</v>
      </c>
      <c r="D150" s="22" t="s">
        <v>736</v>
      </c>
      <c r="E150" s="22" t="s">
        <v>737</v>
      </c>
      <c r="F150" s="22" t="s">
        <v>15</v>
      </c>
      <c r="G150" s="22"/>
      <c r="H150" s="22"/>
      <c r="I150" s="22"/>
      <c r="J150" s="22">
        <v>75</v>
      </c>
      <c r="K150" s="23">
        <v>66320</v>
      </c>
      <c r="L150" s="23">
        <v>49740</v>
      </c>
      <c r="M150" s="23">
        <v>16580</v>
      </c>
      <c r="N150" s="23">
        <v>66320</v>
      </c>
      <c r="O150" s="23"/>
      <c r="P150" s="23"/>
      <c r="Q150" s="23"/>
      <c r="R150" s="23"/>
      <c r="S150" s="23"/>
      <c r="T150" s="1"/>
      <c r="U150" s="1"/>
      <c r="V150" s="1"/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2">
        <v>0</v>
      </c>
      <c r="AC150" s="23"/>
    </row>
    <row r="151" spans="1:29" ht="38.25" hidden="1" x14ac:dyDescent="0.2">
      <c r="A151" s="6">
        <v>450</v>
      </c>
      <c r="B151" s="18"/>
      <c r="C151" s="18"/>
      <c r="D151" s="18" t="s">
        <v>738</v>
      </c>
      <c r="E151" s="18" t="s">
        <v>739</v>
      </c>
      <c r="F151" s="18" t="s">
        <v>8</v>
      </c>
      <c r="G151" s="18"/>
      <c r="H151" s="18"/>
      <c r="I151" s="18"/>
      <c r="J151" s="18">
        <v>75</v>
      </c>
      <c r="K151" s="19">
        <v>50000</v>
      </c>
      <c r="L151" s="19">
        <v>37500</v>
      </c>
      <c r="M151" s="19">
        <v>12500</v>
      </c>
      <c r="N151" s="19">
        <v>0</v>
      </c>
      <c r="O151" s="19">
        <v>5000</v>
      </c>
      <c r="P151" s="19">
        <v>20000</v>
      </c>
      <c r="Q151" s="19">
        <v>25000</v>
      </c>
      <c r="R151" s="19">
        <v>0</v>
      </c>
      <c r="S151" s="19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  <c r="AC151" s="19"/>
    </row>
    <row r="152" spans="1:29" ht="38.25" hidden="1" x14ac:dyDescent="0.2">
      <c r="A152" s="6">
        <v>451</v>
      </c>
      <c r="B152" s="9">
        <v>151</v>
      </c>
      <c r="C152" s="9">
        <v>0</v>
      </c>
      <c r="D152" s="9" t="s">
        <v>740</v>
      </c>
      <c r="E152" s="9" t="s">
        <v>741</v>
      </c>
      <c r="F152" s="9" t="s">
        <v>11</v>
      </c>
      <c r="G152" s="9"/>
      <c r="H152" s="9" t="s">
        <v>702</v>
      </c>
      <c r="I152" s="9" t="s">
        <v>18</v>
      </c>
      <c r="J152" s="9">
        <v>75</v>
      </c>
      <c r="K152" s="10">
        <v>50000</v>
      </c>
      <c r="L152" s="10">
        <v>37500</v>
      </c>
      <c r="M152" s="10">
        <v>12500</v>
      </c>
      <c r="N152" s="10"/>
      <c r="O152" s="10">
        <v>5000</v>
      </c>
      <c r="P152" s="10">
        <v>20000</v>
      </c>
      <c r="Q152" s="10">
        <v>25000</v>
      </c>
      <c r="R152" s="10"/>
      <c r="S152" s="10"/>
      <c r="T152" s="1"/>
      <c r="U152" s="1"/>
      <c r="V152" s="1"/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  <c r="AC152" s="10"/>
    </row>
    <row r="153" spans="1:29" ht="51" hidden="1" x14ac:dyDescent="0.2">
      <c r="A153" s="6">
        <v>452</v>
      </c>
      <c r="B153" s="18"/>
      <c r="C153" s="18"/>
      <c r="D153" s="18" t="s">
        <v>742</v>
      </c>
      <c r="E153" s="18" t="s">
        <v>743</v>
      </c>
      <c r="F153" s="18" t="s">
        <v>8</v>
      </c>
      <c r="G153" s="18"/>
      <c r="H153" s="18"/>
      <c r="I153" s="18"/>
      <c r="J153" s="18">
        <v>75</v>
      </c>
      <c r="K153" s="19">
        <v>51500</v>
      </c>
      <c r="L153" s="19">
        <v>38625</v>
      </c>
      <c r="M153" s="19">
        <v>12875</v>
      </c>
      <c r="N153" s="19">
        <v>20319.599999999999</v>
      </c>
      <c r="O153" s="19">
        <v>22931</v>
      </c>
      <c r="P153" s="19">
        <v>8249.4</v>
      </c>
      <c r="Q153" s="19">
        <v>0</v>
      </c>
      <c r="R153" s="19">
        <v>0</v>
      </c>
      <c r="S153" s="19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  <c r="AC153" s="19"/>
    </row>
    <row r="154" spans="1:29" ht="38.25" hidden="1" x14ac:dyDescent="0.2">
      <c r="A154" s="6">
        <v>453</v>
      </c>
      <c r="B154" s="9">
        <v>152</v>
      </c>
      <c r="C154" s="9">
        <v>122</v>
      </c>
      <c r="D154" s="9" t="s">
        <v>744</v>
      </c>
      <c r="E154" s="9" t="s">
        <v>745</v>
      </c>
      <c r="F154" s="9" t="s">
        <v>11</v>
      </c>
      <c r="G154" s="9"/>
      <c r="H154" s="9" t="s">
        <v>702</v>
      </c>
      <c r="I154" s="9" t="s">
        <v>18</v>
      </c>
      <c r="J154" s="9">
        <v>75</v>
      </c>
      <c r="K154" s="10">
        <v>51500</v>
      </c>
      <c r="L154" s="10">
        <v>38625</v>
      </c>
      <c r="M154" s="10">
        <v>12875</v>
      </c>
      <c r="N154" s="10">
        <v>20319.599999999999</v>
      </c>
      <c r="O154" s="10">
        <v>22931</v>
      </c>
      <c r="P154" s="10">
        <v>8249.4</v>
      </c>
      <c r="Q154" s="10"/>
      <c r="R154" s="10"/>
      <c r="S154" s="10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  <c r="AC154" s="10"/>
    </row>
    <row r="155" spans="1:29" ht="51" hidden="1" x14ac:dyDescent="0.2">
      <c r="A155" s="6">
        <v>454</v>
      </c>
      <c r="B155" s="8"/>
      <c r="C155" s="8">
        <v>122</v>
      </c>
      <c r="D155" s="8" t="s">
        <v>746</v>
      </c>
      <c r="E155" s="8" t="s">
        <v>747</v>
      </c>
      <c r="F155" s="8" t="s">
        <v>15</v>
      </c>
      <c r="G155" s="8"/>
      <c r="H155" s="8"/>
      <c r="I155" s="8"/>
      <c r="J155" s="8">
        <v>75</v>
      </c>
      <c r="K155" s="12">
        <v>51500</v>
      </c>
      <c r="L155" s="12">
        <v>38625</v>
      </c>
      <c r="M155" s="12">
        <v>12875</v>
      </c>
      <c r="N155" s="12">
        <v>20319.599999999999</v>
      </c>
      <c r="O155" s="12">
        <v>22931</v>
      </c>
      <c r="P155" s="12">
        <v>8249.4</v>
      </c>
      <c r="Q155" s="12"/>
      <c r="R155" s="12"/>
      <c r="S155" s="12"/>
      <c r="T155" s="3"/>
      <c r="U155" s="3"/>
      <c r="V155" s="3"/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  <c r="AC155" s="12"/>
    </row>
    <row r="156" spans="1:29" ht="38.25" hidden="1" x14ac:dyDescent="0.2">
      <c r="A156" s="6">
        <v>455</v>
      </c>
      <c r="B156" s="18"/>
      <c r="C156" s="18"/>
      <c r="D156" s="18" t="s">
        <v>748</v>
      </c>
      <c r="E156" s="18" t="s">
        <v>749</v>
      </c>
      <c r="F156" s="18" t="s">
        <v>8</v>
      </c>
      <c r="G156" s="18"/>
      <c r="H156" s="18"/>
      <c r="I156" s="18"/>
      <c r="J156" s="18">
        <v>75</v>
      </c>
      <c r="K156" s="19">
        <v>115824</v>
      </c>
      <c r="L156" s="19">
        <v>86868</v>
      </c>
      <c r="M156" s="19">
        <v>28956</v>
      </c>
      <c r="N156" s="19">
        <v>0</v>
      </c>
      <c r="O156" s="19">
        <v>0</v>
      </c>
      <c r="P156" s="19">
        <v>0</v>
      </c>
      <c r="Q156" s="19">
        <v>115824</v>
      </c>
      <c r="R156" s="19">
        <v>0</v>
      </c>
      <c r="S156" s="19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  <c r="AC156" s="19"/>
    </row>
    <row r="157" spans="1:29" ht="51" hidden="1" x14ac:dyDescent="0.2">
      <c r="A157" s="6">
        <v>457</v>
      </c>
      <c r="B157" s="18"/>
      <c r="C157" s="18"/>
      <c r="D157" s="18" t="s">
        <v>750</v>
      </c>
      <c r="E157" s="18" t="s">
        <v>751</v>
      </c>
      <c r="F157" s="18" t="s">
        <v>8</v>
      </c>
      <c r="G157" s="18"/>
      <c r="H157" s="18"/>
      <c r="I157" s="18"/>
      <c r="J157" s="18"/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/>
      <c r="Z157" s="1">
        <v>0</v>
      </c>
      <c r="AA157" s="1">
        <v>0</v>
      </c>
      <c r="AB157" s="2">
        <v>0</v>
      </c>
      <c r="AC157" s="19"/>
    </row>
    <row r="158" spans="1:29" ht="36.75" hidden="1" customHeight="1" x14ac:dyDescent="0.2">
      <c r="A158" s="6">
        <v>458</v>
      </c>
      <c r="B158" s="25"/>
      <c r="C158" s="25"/>
      <c r="D158" s="25" t="s">
        <v>752</v>
      </c>
      <c r="E158" s="25" t="s">
        <v>753</v>
      </c>
      <c r="F158" s="25" t="s">
        <v>5</v>
      </c>
      <c r="G158" s="25"/>
      <c r="H158" s="25"/>
      <c r="I158" s="25"/>
      <c r="J158" s="25">
        <v>75</v>
      </c>
      <c r="K158" s="26">
        <v>241756</v>
      </c>
      <c r="L158" s="26">
        <v>172930</v>
      </c>
      <c r="M158" s="26">
        <v>57643.33</v>
      </c>
      <c r="N158" s="26">
        <v>65600</v>
      </c>
      <c r="O158" s="26">
        <v>121156</v>
      </c>
      <c r="P158" s="26">
        <v>55000</v>
      </c>
      <c r="Q158" s="26">
        <v>0</v>
      </c>
      <c r="R158" s="26">
        <v>0</v>
      </c>
      <c r="S158" s="26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4">
        <v>0</v>
      </c>
      <c r="AC158" s="26"/>
    </row>
    <row r="159" spans="1:29" ht="25.5" hidden="1" x14ac:dyDescent="0.2">
      <c r="A159" s="6">
        <v>458</v>
      </c>
      <c r="B159" s="18"/>
      <c r="C159" s="18"/>
      <c r="D159" s="18" t="s">
        <v>752</v>
      </c>
      <c r="E159" s="18" t="s">
        <v>753</v>
      </c>
      <c r="F159" s="18" t="s">
        <v>5</v>
      </c>
      <c r="G159" s="18"/>
      <c r="H159" s="18"/>
      <c r="I159" s="18"/>
      <c r="J159" s="18">
        <v>75</v>
      </c>
      <c r="K159" s="19">
        <v>241756</v>
      </c>
      <c r="L159" s="19">
        <v>172930</v>
      </c>
      <c r="M159" s="19">
        <v>57643.33</v>
      </c>
      <c r="N159" s="19">
        <v>65600</v>
      </c>
      <c r="O159" s="19">
        <v>121156</v>
      </c>
      <c r="P159" s="19">
        <v>55000</v>
      </c>
      <c r="Q159" s="19">
        <v>0</v>
      </c>
      <c r="R159" s="19">
        <v>0</v>
      </c>
      <c r="S159" s="19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4">
        <v>0</v>
      </c>
      <c r="AC159" s="19"/>
    </row>
    <row r="160" spans="1:29" ht="51" hidden="1" x14ac:dyDescent="0.2">
      <c r="A160" s="6">
        <v>459</v>
      </c>
      <c r="B160" s="18"/>
      <c r="C160" s="18"/>
      <c r="D160" s="18" t="s">
        <v>754</v>
      </c>
      <c r="E160" s="18" t="s">
        <v>755</v>
      </c>
      <c r="F160" s="18" t="s">
        <v>8</v>
      </c>
      <c r="G160" s="18"/>
      <c r="H160" s="18"/>
      <c r="I160" s="18"/>
      <c r="J160" s="18">
        <v>75</v>
      </c>
      <c r="K160" s="19">
        <v>185600</v>
      </c>
      <c r="L160" s="19">
        <v>139200</v>
      </c>
      <c r="M160" s="19">
        <v>46400</v>
      </c>
      <c r="N160" s="19">
        <v>65600</v>
      </c>
      <c r="O160" s="19">
        <v>65000</v>
      </c>
      <c r="P160" s="19">
        <v>55000</v>
      </c>
      <c r="Q160" s="19">
        <v>0</v>
      </c>
      <c r="R160" s="19">
        <v>0</v>
      </c>
      <c r="S160" s="19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2">
        <v>0</v>
      </c>
      <c r="AC160" s="19"/>
    </row>
    <row r="161" spans="1:29" ht="25.5" hidden="1" x14ac:dyDescent="0.2">
      <c r="A161" s="6">
        <v>460</v>
      </c>
      <c r="B161" s="9">
        <v>153</v>
      </c>
      <c r="C161" s="9">
        <v>123</v>
      </c>
      <c r="D161" s="9" t="s">
        <v>756</v>
      </c>
      <c r="E161" s="9" t="s">
        <v>757</v>
      </c>
      <c r="F161" s="9" t="s">
        <v>11</v>
      </c>
      <c r="G161" s="9"/>
      <c r="H161" s="9" t="s">
        <v>702</v>
      </c>
      <c r="I161" s="9" t="s">
        <v>18</v>
      </c>
      <c r="J161" s="9">
        <v>75</v>
      </c>
      <c r="K161" s="10">
        <v>65600</v>
      </c>
      <c r="L161" s="10">
        <v>49200</v>
      </c>
      <c r="M161" s="10">
        <v>16400</v>
      </c>
      <c r="N161" s="10">
        <v>65600</v>
      </c>
      <c r="O161" s="10"/>
      <c r="P161" s="10"/>
      <c r="Q161" s="10"/>
      <c r="R161" s="10"/>
      <c r="S161" s="10"/>
      <c r="T161" s="3"/>
      <c r="U161" s="3"/>
      <c r="V161" s="3"/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  <c r="AC161" s="10"/>
    </row>
    <row r="162" spans="1:29" ht="38.25" hidden="1" x14ac:dyDescent="0.2">
      <c r="A162" s="6">
        <v>461</v>
      </c>
      <c r="B162" s="22"/>
      <c r="C162" s="22">
        <v>123</v>
      </c>
      <c r="D162" s="22" t="s">
        <v>758</v>
      </c>
      <c r="E162" s="22" t="s">
        <v>759</v>
      </c>
      <c r="F162" s="22" t="s">
        <v>15</v>
      </c>
      <c r="G162" s="22"/>
      <c r="H162" s="22"/>
      <c r="I162" s="22"/>
      <c r="J162" s="22">
        <v>75</v>
      </c>
      <c r="K162" s="23">
        <v>65600</v>
      </c>
      <c r="L162" s="23">
        <v>49200</v>
      </c>
      <c r="M162" s="23">
        <v>16400</v>
      </c>
      <c r="N162" s="23">
        <v>65600</v>
      </c>
      <c r="O162" s="23"/>
      <c r="P162" s="23"/>
      <c r="Q162" s="23"/>
      <c r="R162" s="23"/>
      <c r="S162" s="23"/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  <c r="AC162" s="23"/>
    </row>
    <row r="163" spans="1:29" ht="38.25" hidden="1" x14ac:dyDescent="0.2">
      <c r="A163" s="6">
        <v>462</v>
      </c>
      <c r="B163" s="9">
        <v>154</v>
      </c>
      <c r="C163" s="9">
        <v>0</v>
      </c>
      <c r="D163" s="9" t="s">
        <v>760</v>
      </c>
      <c r="E163" s="9" t="s">
        <v>761</v>
      </c>
      <c r="F163" s="9" t="s">
        <v>11</v>
      </c>
      <c r="G163" s="9"/>
      <c r="H163" s="9" t="s">
        <v>702</v>
      </c>
      <c r="I163" s="9" t="s">
        <v>18</v>
      </c>
      <c r="J163" s="9">
        <v>75</v>
      </c>
      <c r="K163" s="10">
        <v>120000</v>
      </c>
      <c r="L163" s="10">
        <v>90000</v>
      </c>
      <c r="M163" s="10">
        <v>30000</v>
      </c>
      <c r="N163" s="10"/>
      <c r="O163" s="10">
        <v>65000</v>
      </c>
      <c r="P163" s="10">
        <v>55000</v>
      </c>
      <c r="Q163" s="10"/>
      <c r="R163" s="10"/>
      <c r="S163" s="10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  <c r="AC163" s="10"/>
    </row>
    <row r="164" spans="1:29" ht="51" hidden="1" x14ac:dyDescent="0.2">
      <c r="A164" s="6">
        <v>463</v>
      </c>
      <c r="B164" s="18"/>
      <c r="C164" s="18"/>
      <c r="D164" s="18" t="s">
        <v>762</v>
      </c>
      <c r="E164" s="18" t="s">
        <v>763</v>
      </c>
      <c r="F164" s="18" t="s">
        <v>8</v>
      </c>
      <c r="G164" s="18"/>
      <c r="H164" s="18"/>
      <c r="I164" s="18"/>
      <c r="J164" s="18">
        <v>75</v>
      </c>
      <c r="K164" s="19">
        <v>56156</v>
      </c>
      <c r="L164" s="19">
        <v>42117</v>
      </c>
      <c r="M164" s="19">
        <v>14039</v>
      </c>
      <c r="N164" s="19">
        <v>0</v>
      </c>
      <c r="O164" s="19">
        <v>56156</v>
      </c>
      <c r="P164" s="19">
        <v>0</v>
      </c>
      <c r="Q164" s="19">
        <v>0</v>
      </c>
      <c r="R164" s="19">
        <v>0</v>
      </c>
      <c r="S164" s="19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  <c r="AC164" s="19"/>
    </row>
    <row r="165" spans="1:29" ht="51" hidden="1" x14ac:dyDescent="0.2">
      <c r="A165" s="6">
        <v>464</v>
      </c>
      <c r="B165" s="9">
        <v>155</v>
      </c>
      <c r="C165" s="9">
        <v>124</v>
      </c>
      <c r="D165" s="9" t="s">
        <v>764</v>
      </c>
      <c r="E165" s="9" t="s">
        <v>765</v>
      </c>
      <c r="F165" s="9" t="s">
        <v>11</v>
      </c>
      <c r="G165" s="9"/>
      <c r="H165" s="9" t="s">
        <v>717</v>
      </c>
      <c r="I165" s="9" t="s">
        <v>18</v>
      </c>
      <c r="J165" s="9">
        <v>75</v>
      </c>
      <c r="K165" s="10">
        <v>56156</v>
      </c>
      <c r="L165" s="10">
        <v>42117</v>
      </c>
      <c r="M165" s="10">
        <v>14039</v>
      </c>
      <c r="N165" s="10"/>
      <c r="O165" s="10">
        <v>56156</v>
      </c>
      <c r="P165" s="10"/>
      <c r="Q165" s="10"/>
      <c r="R165" s="10"/>
      <c r="S165" s="10"/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  <c r="AC165" s="10"/>
    </row>
    <row r="166" spans="1:29" ht="51" hidden="1" x14ac:dyDescent="0.2">
      <c r="A166" s="6">
        <v>465</v>
      </c>
      <c r="B166" s="22"/>
      <c r="C166" s="22">
        <v>124</v>
      </c>
      <c r="D166" s="22" t="s">
        <v>766</v>
      </c>
      <c r="E166" s="22" t="s">
        <v>767</v>
      </c>
      <c r="F166" s="22" t="s">
        <v>15</v>
      </c>
      <c r="G166" s="22"/>
      <c r="H166" s="22"/>
      <c r="I166" s="22"/>
      <c r="J166" s="22">
        <v>75</v>
      </c>
      <c r="K166" s="23">
        <v>56156</v>
      </c>
      <c r="L166" s="23">
        <v>42117</v>
      </c>
      <c r="M166" s="23">
        <v>14039</v>
      </c>
      <c r="N166" s="23"/>
      <c r="O166" s="23">
        <v>56156</v>
      </c>
      <c r="P166" s="23"/>
      <c r="Q166" s="23"/>
      <c r="R166" s="23"/>
      <c r="S166" s="23"/>
      <c r="T166" s="1"/>
      <c r="U166" s="1"/>
      <c r="V166" s="1"/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2">
        <v>0</v>
      </c>
      <c r="AC166" s="23"/>
    </row>
    <row r="167" spans="1:29" ht="25.5" hidden="1" x14ac:dyDescent="0.2">
      <c r="A167" s="6">
        <v>466</v>
      </c>
      <c r="B167" s="25"/>
      <c r="C167" s="25"/>
      <c r="D167" s="25" t="s">
        <v>768</v>
      </c>
      <c r="E167" s="25" t="s">
        <v>769</v>
      </c>
      <c r="F167" s="25" t="s">
        <v>5</v>
      </c>
      <c r="G167" s="25"/>
      <c r="H167" s="25"/>
      <c r="I167" s="25"/>
      <c r="J167" s="25">
        <v>75</v>
      </c>
      <c r="K167" s="26">
        <v>164693.32999999999</v>
      </c>
      <c r="L167" s="26">
        <v>123520</v>
      </c>
      <c r="M167" s="26">
        <v>41173.33</v>
      </c>
      <c r="N167" s="26">
        <v>0</v>
      </c>
      <c r="O167" s="26">
        <v>25000</v>
      </c>
      <c r="P167" s="26">
        <v>30000</v>
      </c>
      <c r="Q167" s="26">
        <v>15000</v>
      </c>
      <c r="R167" s="26">
        <v>0</v>
      </c>
      <c r="S167" s="26">
        <v>0</v>
      </c>
      <c r="T167" s="3">
        <v>0</v>
      </c>
      <c r="U167" s="3">
        <v>94693.33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4">
        <v>0</v>
      </c>
      <c r="AC167" s="26"/>
    </row>
    <row r="168" spans="1:29" ht="25.5" hidden="1" x14ac:dyDescent="0.2">
      <c r="A168" s="6">
        <v>466</v>
      </c>
      <c r="B168" s="18"/>
      <c r="C168" s="18"/>
      <c r="D168" s="18" t="s">
        <v>768</v>
      </c>
      <c r="E168" s="18" t="s">
        <v>769</v>
      </c>
      <c r="F168" s="18" t="s">
        <v>5</v>
      </c>
      <c r="G168" s="18"/>
      <c r="H168" s="18"/>
      <c r="I168" s="18"/>
      <c r="J168" s="18">
        <v>75</v>
      </c>
      <c r="K168" s="19">
        <v>164693.32999999999</v>
      </c>
      <c r="L168" s="19">
        <v>123520</v>
      </c>
      <c r="M168" s="19">
        <v>41173.33</v>
      </c>
      <c r="N168" s="19">
        <v>0</v>
      </c>
      <c r="O168" s="19">
        <v>25000</v>
      </c>
      <c r="P168" s="19">
        <v>30000</v>
      </c>
      <c r="Q168" s="19">
        <v>15000</v>
      </c>
      <c r="R168" s="19">
        <v>0</v>
      </c>
      <c r="S168" s="19">
        <v>0</v>
      </c>
      <c r="T168" s="3">
        <v>0</v>
      </c>
      <c r="U168" s="3">
        <v>94693.33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4">
        <v>0</v>
      </c>
      <c r="AC168" s="19"/>
    </row>
    <row r="169" spans="1:29" ht="51" hidden="1" x14ac:dyDescent="0.2">
      <c r="A169" s="6">
        <v>467</v>
      </c>
      <c r="B169" s="18"/>
      <c r="C169" s="18"/>
      <c r="D169" s="18" t="s">
        <v>770</v>
      </c>
      <c r="E169" s="18" t="s">
        <v>771</v>
      </c>
      <c r="F169" s="18" t="s">
        <v>8</v>
      </c>
      <c r="G169" s="18"/>
      <c r="H169" s="18"/>
      <c r="I169" s="18"/>
      <c r="J169" s="18">
        <v>75</v>
      </c>
      <c r="K169" s="19">
        <v>94693.33</v>
      </c>
      <c r="L169" s="19">
        <v>71020</v>
      </c>
      <c r="M169" s="19">
        <v>23673.33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">
        <v>0</v>
      </c>
      <c r="U169" s="1">
        <v>94693.33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2">
        <v>0</v>
      </c>
      <c r="AC169" s="19"/>
    </row>
    <row r="170" spans="1:29" ht="25.5" hidden="1" x14ac:dyDescent="0.2">
      <c r="A170" s="6">
        <v>468</v>
      </c>
      <c r="B170" s="9">
        <v>156</v>
      </c>
      <c r="C170" s="9">
        <v>0</v>
      </c>
      <c r="D170" s="9" t="s">
        <v>772</v>
      </c>
      <c r="E170" s="9" t="s">
        <v>773</v>
      </c>
      <c r="F170" s="9" t="s">
        <v>11</v>
      </c>
      <c r="G170" s="9"/>
      <c r="H170" s="9" t="s">
        <v>65</v>
      </c>
      <c r="I170" s="9" t="s">
        <v>18</v>
      </c>
      <c r="J170" s="9">
        <v>75</v>
      </c>
      <c r="K170" s="10">
        <v>94693.33</v>
      </c>
      <c r="L170" s="10">
        <v>71020</v>
      </c>
      <c r="M170" s="10">
        <v>23673.33</v>
      </c>
      <c r="N170" s="10"/>
      <c r="O170" s="10"/>
      <c r="P170" s="10"/>
      <c r="Q170" s="10"/>
      <c r="R170" s="10"/>
      <c r="S170" s="10"/>
      <c r="T170" s="3"/>
      <c r="U170" s="3">
        <v>94693.33</v>
      </c>
      <c r="V170" s="3"/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4">
        <v>0</v>
      </c>
      <c r="AC170" s="10"/>
    </row>
    <row r="171" spans="1:29" ht="38.25" hidden="1" x14ac:dyDescent="0.2">
      <c r="A171" s="6">
        <v>469</v>
      </c>
      <c r="B171" s="18"/>
      <c r="C171" s="18"/>
      <c r="D171" s="18" t="s">
        <v>774</v>
      </c>
      <c r="E171" s="18" t="s">
        <v>775</v>
      </c>
      <c r="F171" s="18" t="s">
        <v>8</v>
      </c>
      <c r="G171" s="18"/>
      <c r="H171" s="18"/>
      <c r="I171" s="18"/>
      <c r="J171" s="18">
        <v>75</v>
      </c>
      <c r="K171" s="19">
        <v>70000</v>
      </c>
      <c r="L171" s="19">
        <v>52500</v>
      </c>
      <c r="M171" s="19">
        <v>17500</v>
      </c>
      <c r="N171" s="19">
        <v>0</v>
      </c>
      <c r="O171" s="19">
        <v>25000</v>
      </c>
      <c r="P171" s="19">
        <v>30000</v>
      </c>
      <c r="Q171" s="19">
        <v>15000</v>
      </c>
      <c r="R171" s="19">
        <v>0</v>
      </c>
      <c r="S171" s="19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2">
        <v>0</v>
      </c>
      <c r="AC171" s="19"/>
    </row>
    <row r="172" spans="1:29" ht="25.5" hidden="1" x14ac:dyDescent="0.2">
      <c r="A172" s="6">
        <v>470</v>
      </c>
      <c r="B172" s="9">
        <v>157</v>
      </c>
      <c r="C172" s="9">
        <v>0</v>
      </c>
      <c r="D172" s="9" t="s">
        <v>776</v>
      </c>
      <c r="E172" s="9" t="s">
        <v>777</v>
      </c>
      <c r="F172" s="9" t="s">
        <v>11</v>
      </c>
      <c r="G172" s="9"/>
      <c r="H172" s="9" t="s">
        <v>702</v>
      </c>
      <c r="I172" s="9" t="s">
        <v>18</v>
      </c>
      <c r="J172" s="9">
        <v>75</v>
      </c>
      <c r="K172" s="10">
        <v>70000</v>
      </c>
      <c r="L172" s="10">
        <v>52500</v>
      </c>
      <c r="M172" s="10">
        <v>17500</v>
      </c>
      <c r="N172" s="10"/>
      <c r="O172" s="10">
        <v>25000</v>
      </c>
      <c r="P172" s="10">
        <v>30000</v>
      </c>
      <c r="Q172" s="10">
        <v>15000</v>
      </c>
      <c r="R172" s="10"/>
      <c r="S172" s="10"/>
      <c r="T172" s="3"/>
      <c r="U172" s="3"/>
      <c r="V172" s="3"/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4">
        <v>0</v>
      </c>
      <c r="AC172" s="10"/>
    </row>
    <row r="173" spans="1:29" ht="38.25" hidden="1" x14ac:dyDescent="0.2">
      <c r="A173" s="6">
        <v>471</v>
      </c>
      <c r="B173" s="18"/>
      <c r="C173" s="18"/>
      <c r="D173" s="18" t="s">
        <v>778</v>
      </c>
      <c r="E173" s="18" t="s">
        <v>779</v>
      </c>
      <c r="F173" s="18" t="s">
        <v>8</v>
      </c>
      <c r="G173" s="18"/>
      <c r="H173" s="18"/>
      <c r="I173" s="18"/>
      <c r="J173" s="18"/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/>
      <c r="Z173" s="1">
        <v>0</v>
      </c>
      <c r="AA173" s="1">
        <v>0</v>
      </c>
      <c r="AB173" s="2">
        <v>0</v>
      </c>
      <c r="AC173" s="19"/>
    </row>
    <row r="174" spans="1:29" ht="51" hidden="1" x14ac:dyDescent="0.2">
      <c r="A174" s="6">
        <v>472</v>
      </c>
      <c r="B174" s="18"/>
      <c r="C174" s="18"/>
      <c r="D174" s="18" t="s">
        <v>780</v>
      </c>
      <c r="E174" s="18" t="s">
        <v>781</v>
      </c>
      <c r="F174" s="18" t="s">
        <v>8</v>
      </c>
      <c r="G174" s="18"/>
      <c r="H174" s="18"/>
      <c r="I174" s="18"/>
      <c r="J174" s="18"/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/>
      <c r="Z174" s="3">
        <v>0</v>
      </c>
      <c r="AA174" s="3">
        <v>0</v>
      </c>
      <c r="AB174" s="4">
        <v>0</v>
      </c>
      <c r="AC174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B3:E10"/>
  <sheetViews>
    <sheetView workbookViewId="0">
      <selection activeCell="B49" sqref="B49"/>
    </sheetView>
  </sheetViews>
  <sheetFormatPr defaultRowHeight="12.75" x14ac:dyDescent="0.2"/>
  <cols>
    <col min="2" max="2" width="17.140625" customWidth="1"/>
    <col min="3" max="3" width="17" customWidth="1"/>
    <col min="4" max="4" width="19.7109375" customWidth="1"/>
    <col min="5" max="5" width="16.85546875" customWidth="1"/>
  </cols>
  <sheetData>
    <row r="3" spans="2:5" x14ac:dyDescent="0.2">
      <c r="C3" s="78" t="s">
        <v>830</v>
      </c>
      <c r="D3" s="78" t="s">
        <v>831</v>
      </c>
      <c r="E3" t="s">
        <v>832</v>
      </c>
    </row>
    <row r="4" spans="2:5" x14ac:dyDescent="0.2">
      <c r="B4" s="78" t="s">
        <v>34</v>
      </c>
      <c r="C4" s="80">
        <v>54223.91</v>
      </c>
      <c r="D4" s="80">
        <v>45000</v>
      </c>
      <c r="E4" s="80">
        <f t="shared" ref="E4:E10" si="0">D4-C4</f>
        <v>-9223.9100000000035</v>
      </c>
    </row>
    <row r="5" spans="2:5" x14ac:dyDescent="0.2">
      <c r="B5" s="78" t="s">
        <v>42</v>
      </c>
      <c r="C5" s="80">
        <v>188868.38</v>
      </c>
      <c r="D5" s="80">
        <v>123486.5</v>
      </c>
      <c r="E5" s="80">
        <f t="shared" si="0"/>
        <v>-65381.880000000005</v>
      </c>
    </row>
    <row r="6" spans="2:5" x14ac:dyDescent="0.2">
      <c r="B6" s="78" t="s">
        <v>77</v>
      </c>
      <c r="C6" s="80">
        <v>88379.74</v>
      </c>
      <c r="D6" s="80">
        <v>66675</v>
      </c>
      <c r="E6" s="80">
        <f t="shared" si="0"/>
        <v>-21704.740000000005</v>
      </c>
    </row>
    <row r="7" spans="2:5" x14ac:dyDescent="0.2">
      <c r="B7" s="78" t="s">
        <v>134</v>
      </c>
      <c r="C7" s="80">
        <v>739088.34</v>
      </c>
      <c r="D7" s="80">
        <v>465000</v>
      </c>
      <c r="E7" s="80">
        <f t="shared" si="0"/>
        <v>-274088.33999999997</v>
      </c>
    </row>
    <row r="8" spans="2:5" x14ac:dyDescent="0.2">
      <c r="B8" s="78" t="s">
        <v>137</v>
      </c>
      <c r="C8" s="80">
        <v>16641.23</v>
      </c>
      <c r="D8" s="80">
        <v>15000</v>
      </c>
      <c r="E8" s="80">
        <f t="shared" si="0"/>
        <v>-1641.2299999999996</v>
      </c>
    </row>
    <row r="9" spans="2:5" x14ac:dyDescent="0.2">
      <c r="B9" s="78" t="s">
        <v>170</v>
      </c>
      <c r="C9" s="80">
        <v>53910.7</v>
      </c>
      <c r="D9" s="80">
        <v>30000</v>
      </c>
      <c r="E9" s="80">
        <f t="shared" si="0"/>
        <v>-23910.699999999997</v>
      </c>
    </row>
    <row r="10" spans="2:5" x14ac:dyDescent="0.2">
      <c r="C10" s="80">
        <f>SUM(C4:C9)</f>
        <v>1141112.3</v>
      </c>
      <c r="D10" s="80">
        <f>SUM(D4:D9)</f>
        <v>745161.5</v>
      </c>
      <c r="E10" s="80">
        <f t="shared" si="0"/>
        <v>-395950.80000000005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1:AD97"/>
  <sheetViews>
    <sheetView tabSelected="1" zoomScale="118" zoomScaleNormal="118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AC8" sqref="AC8"/>
    </sheetView>
  </sheetViews>
  <sheetFormatPr defaultRowHeight="12.75" x14ac:dyDescent="0.2"/>
  <cols>
    <col min="2" max="2" width="13.5703125" customWidth="1"/>
    <col min="3" max="3" width="37" bestFit="1" customWidth="1"/>
    <col min="7" max="8" width="13.85546875" bestFit="1" customWidth="1"/>
    <col min="9" max="9" width="12.28515625" bestFit="1" customWidth="1"/>
    <col min="10" max="10" width="0" hidden="1" customWidth="1"/>
    <col min="11" max="12" width="11.7109375" bestFit="1" customWidth="1"/>
    <col min="13" max="13" width="12.28515625" bestFit="1" customWidth="1"/>
    <col min="14" max="14" width="13.42578125" bestFit="1" customWidth="1"/>
    <col min="15" max="17" width="12.28515625" customWidth="1"/>
    <col min="18" max="18" width="22.140625" customWidth="1"/>
    <col min="19" max="19" width="11.7109375" hidden="1" customWidth="1"/>
    <col min="20" max="22" width="12.7109375" hidden="1" customWidth="1"/>
    <col min="23" max="23" width="11.7109375" style="80" hidden="1" customWidth="1"/>
    <col min="24" max="24" width="13.85546875" hidden="1" customWidth="1"/>
    <col min="25" max="25" width="13.140625" hidden="1" customWidth="1"/>
    <col min="26" max="27" width="13.85546875" hidden="1" customWidth="1"/>
    <col min="28" max="28" width="10.85546875" bestFit="1" customWidth="1"/>
    <col min="30" max="30" width="10.85546875" bestFit="1" customWidth="1"/>
  </cols>
  <sheetData>
    <row r="1" spans="1:27" ht="15.75" x14ac:dyDescent="0.25">
      <c r="A1" s="132" t="s">
        <v>1009</v>
      </c>
      <c r="B1" s="133"/>
      <c r="C1" s="133"/>
      <c r="D1" s="109"/>
      <c r="E1" s="109"/>
      <c r="F1" s="109"/>
      <c r="G1" s="109"/>
      <c r="H1" s="109"/>
      <c r="I1" s="109"/>
      <c r="J1" s="109"/>
      <c r="K1" s="114"/>
      <c r="L1" s="114"/>
      <c r="M1" s="114"/>
      <c r="N1" s="114"/>
      <c r="O1" s="114"/>
      <c r="P1" s="114"/>
      <c r="Q1" s="114"/>
      <c r="R1" s="114"/>
    </row>
    <row r="2" spans="1:27" ht="15.75" x14ac:dyDescent="0.25">
      <c r="A2" s="109"/>
      <c r="B2" s="109"/>
      <c r="C2" s="110"/>
      <c r="D2" s="109"/>
      <c r="E2" s="109"/>
      <c r="F2" s="109"/>
      <c r="G2" s="109"/>
      <c r="H2" s="109"/>
      <c r="I2" s="109"/>
      <c r="J2" s="109"/>
      <c r="K2" s="115"/>
      <c r="L2" s="115"/>
      <c r="M2" s="115"/>
      <c r="N2" s="115"/>
      <c r="O2" s="115"/>
      <c r="P2" s="115"/>
      <c r="Q2" s="115"/>
      <c r="R2" s="115"/>
    </row>
    <row r="3" spans="1:27" ht="36" customHeight="1" x14ac:dyDescent="0.2">
      <c r="A3" s="84" t="s">
        <v>837</v>
      </c>
      <c r="B3" s="84" t="s">
        <v>784</v>
      </c>
      <c r="C3" s="107" t="s">
        <v>839</v>
      </c>
      <c r="D3" s="108" t="s">
        <v>786</v>
      </c>
      <c r="E3" s="108" t="s">
        <v>838</v>
      </c>
      <c r="F3" s="108" t="s">
        <v>789</v>
      </c>
      <c r="G3" s="108" t="s">
        <v>791</v>
      </c>
      <c r="H3" s="108" t="s">
        <v>836</v>
      </c>
      <c r="I3" s="108" t="s">
        <v>793</v>
      </c>
      <c r="J3" s="118">
        <v>2022</v>
      </c>
      <c r="K3" s="116">
        <v>2023</v>
      </c>
      <c r="L3" s="116">
        <v>2024</v>
      </c>
      <c r="M3" s="116">
        <v>2025</v>
      </c>
      <c r="N3" s="116">
        <v>2026</v>
      </c>
      <c r="O3" s="116">
        <v>2027</v>
      </c>
      <c r="P3" s="116">
        <v>2028</v>
      </c>
      <c r="Q3" s="116">
        <v>2029</v>
      </c>
      <c r="R3" s="116" t="s">
        <v>957</v>
      </c>
      <c r="U3" s="80">
        <v>32256450.300000001</v>
      </c>
      <c r="X3" t="s">
        <v>1000</v>
      </c>
      <c r="Y3" t="s">
        <v>1001</v>
      </c>
      <c r="Z3" t="s">
        <v>1002</v>
      </c>
      <c r="AA3" t="s">
        <v>1003</v>
      </c>
    </row>
    <row r="4" spans="1:27" ht="58.5" customHeight="1" x14ac:dyDescent="0.2">
      <c r="A4" s="123"/>
      <c r="B4" s="123" t="s">
        <v>842</v>
      </c>
      <c r="C4" s="122"/>
      <c r="D4" s="123"/>
      <c r="E4" s="123"/>
      <c r="F4" s="123"/>
      <c r="G4" s="131">
        <f t="shared" ref="G4:Q4" si="0">+G5+G25+G40+G83</f>
        <v>47882003.990000002</v>
      </c>
      <c r="H4" s="131">
        <f t="shared" si="0"/>
        <v>37829603.830000006</v>
      </c>
      <c r="I4" s="131">
        <f t="shared" si="0"/>
        <v>10052400.16</v>
      </c>
      <c r="J4" s="131">
        <f t="shared" si="0"/>
        <v>0</v>
      </c>
      <c r="K4" s="131">
        <f t="shared" si="0"/>
        <v>2791734.5599999996</v>
      </c>
      <c r="L4" s="131">
        <f t="shared" si="0"/>
        <v>4075777.71</v>
      </c>
      <c r="M4" s="131">
        <f t="shared" si="0"/>
        <v>8705304.3614000008</v>
      </c>
      <c r="N4" s="131">
        <f t="shared" si="0"/>
        <v>12679257.469999999</v>
      </c>
      <c r="O4" s="131">
        <f t="shared" si="0"/>
        <v>10187610.15</v>
      </c>
      <c r="P4" s="131">
        <f t="shared" si="0"/>
        <v>6324011.9399999995</v>
      </c>
      <c r="Q4" s="131">
        <f t="shared" si="0"/>
        <v>3118307.8000000007</v>
      </c>
      <c r="R4" s="124"/>
      <c r="T4" s="80"/>
      <c r="U4" s="80">
        <f>+U3-H4</f>
        <v>-5573153.5300000049</v>
      </c>
    </row>
    <row r="5" spans="1:27" ht="24" x14ac:dyDescent="0.2">
      <c r="A5" s="88"/>
      <c r="B5" s="88" t="s">
        <v>843</v>
      </c>
      <c r="C5" s="93" t="s">
        <v>279</v>
      </c>
      <c r="D5" s="88" t="s">
        <v>2</v>
      </c>
      <c r="E5" s="88"/>
      <c r="F5" s="88"/>
      <c r="G5" s="89">
        <f>+G6+G17+G20</f>
        <v>12883111.699999999</v>
      </c>
      <c r="H5" s="89">
        <f t="shared" ref="H5:Q5" si="1">+H6+H17+H20</f>
        <v>10459833.710000001</v>
      </c>
      <c r="I5" s="89">
        <f t="shared" si="1"/>
        <v>2423277.9899999998</v>
      </c>
      <c r="J5" s="89">
        <f t="shared" si="1"/>
        <v>0</v>
      </c>
      <c r="K5" s="89">
        <f t="shared" si="1"/>
        <v>584462.49</v>
      </c>
      <c r="L5" s="89">
        <f t="shared" si="1"/>
        <v>493727.04999999993</v>
      </c>
      <c r="M5" s="89">
        <f t="shared" si="1"/>
        <v>2133467.4500000002</v>
      </c>
      <c r="N5" s="89">
        <f t="shared" si="1"/>
        <v>3111175.87</v>
      </c>
      <c r="O5" s="89">
        <f t="shared" si="1"/>
        <v>3004015.5999999996</v>
      </c>
      <c r="P5" s="89">
        <f t="shared" si="1"/>
        <v>2165591.3899999997</v>
      </c>
      <c r="Q5" s="89">
        <f t="shared" si="1"/>
        <v>1390671.85</v>
      </c>
      <c r="R5" s="89"/>
      <c r="U5" s="80"/>
      <c r="X5" s="80"/>
    </row>
    <row r="6" spans="1:27" ht="24" x14ac:dyDescent="0.2">
      <c r="A6" s="119"/>
      <c r="B6" s="119" t="s">
        <v>844</v>
      </c>
      <c r="C6" s="120" t="s">
        <v>969</v>
      </c>
      <c r="D6" s="119" t="s">
        <v>840</v>
      </c>
      <c r="E6" s="119"/>
      <c r="F6" s="119"/>
      <c r="G6" s="121">
        <f t="shared" ref="G6:N6" si="2">+G7+G14+G10</f>
        <v>9439778.5599999987</v>
      </c>
      <c r="H6" s="121">
        <f t="shared" si="2"/>
        <v>7079833.9100000001</v>
      </c>
      <c r="I6" s="121">
        <f t="shared" si="2"/>
        <v>2359944.65</v>
      </c>
      <c r="J6" s="121">
        <f t="shared" si="2"/>
        <v>0</v>
      </c>
      <c r="K6" s="121">
        <f t="shared" si="2"/>
        <v>583325.97</v>
      </c>
      <c r="L6" s="121">
        <f t="shared" si="2"/>
        <v>358188.32999999996</v>
      </c>
      <c r="M6" s="121">
        <f t="shared" si="2"/>
        <v>1833467.4500000002</v>
      </c>
      <c r="N6" s="121">
        <f t="shared" si="2"/>
        <v>2305064.81</v>
      </c>
      <c r="O6" s="121">
        <f>+O7+O14+O10</f>
        <v>2190135.33</v>
      </c>
      <c r="P6" s="121">
        <f t="shared" ref="P6" si="3">+P7+P14+P10</f>
        <v>1465035.88</v>
      </c>
      <c r="Q6" s="121">
        <f t="shared" ref="Q6" si="4">+Q7+Q14+Q10</f>
        <v>704560.79</v>
      </c>
      <c r="R6" s="121"/>
    </row>
    <row r="7" spans="1:27" x14ac:dyDescent="0.2">
      <c r="A7" s="81"/>
      <c r="B7" s="81" t="s">
        <v>853</v>
      </c>
      <c r="C7" s="94" t="s">
        <v>845</v>
      </c>
      <c r="D7" s="81" t="s">
        <v>8</v>
      </c>
      <c r="E7" s="81"/>
      <c r="F7" s="81"/>
      <c r="G7" s="85">
        <f t="shared" ref="G7:N7" si="5">SUM(G8:G9)</f>
        <v>1271666.67</v>
      </c>
      <c r="H7" s="85">
        <f t="shared" si="5"/>
        <v>953750</v>
      </c>
      <c r="I7" s="85">
        <f t="shared" si="5"/>
        <v>317916.67000000004</v>
      </c>
      <c r="J7" s="85">
        <f t="shared" si="5"/>
        <v>0</v>
      </c>
      <c r="K7" s="85">
        <f t="shared" si="5"/>
        <v>0</v>
      </c>
      <c r="L7" s="85">
        <f t="shared" si="5"/>
        <v>27844.37</v>
      </c>
      <c r="M7" s="85">
        <f t="shared" si="5"/>
        <v>15000</v>
      </c>
      <c r="N7" s="85">
        <f t="shared" si="5"/>
        <v>470333.33999999997</v>
      </c>
      <c r="O7" s="85">
        <f>SUM(O8:O9)</f>
        <v>606822.30000000005</v>
      </c>
      <c r="P7" s="85">
        <f t="shared" ref="P7" si="6">SUM(P8:P9)</f>
        <v>133333.32999999999</v>
      </c>
      <c r="Q7" s="85">
        <f t="shared" ref="Q7" si="7">SUM(Q8:Q9)</f>
        <v>18333.330000000045</v>
      </c>
      <c r="R7" s="85"/>
    </row>
    <row r="8" spans="1:27" ht="24" x14ac:dyDescent="0.2">
      <c r="A8" s="101">
        <v>1</v>
      </c>
      <c r="B8" s="101" t="s">
        <v>855</v>
      </c>
      <c r="C8" s="103" t="s">
        <v>846</v>
      </c>
      <c r="D8" s="101" t="s">
        <v>11</v>
      </c>
      <c r="E8" s="101" t="s">
        <v>959</v>
      </c>
      <c r="F8" s="101" t="s">
        <v>835</v>
      </c>
      <c r="G8" s="102">
        <f>+H8+I8</f>
        <v>475000</v>
      </c>
      <c r="H8" s="102">
        <v>356250</v>
      </c>
      <c r="I8" s="102">
        <f t="shared" ref="I8:I9" si="8">ROUNDUP(H8/3,2)</f>
        <v>118750</v>
      </c>
      <c r="J8" s="102"/>
      <c r="K8" s="102">
        <v>0</v>
      </c>
      <c r="L8" s="102">
        <f>12301.3+12648.14+642.09+2252.84</f>
        <v>27844.37</v>
      </c>
      <c r="M8" s="102">
        <v>15000</v>
      </c>
      <c r="N8" s="102">
        <v>126666.67</v>
      </c>
      <c r="O8" s="102">
        <v>153822.29999999999</v>
      </c>
      <c r="P8" s="102">
        <v>133333.32999999999</v>
      </c>
      <c r="Q8" s="102">
        <v>18333.330000000045</v>
      </c>
      <c r="R8" s="102"/>
      <c r="S8" s="80"/>
      <c r="X8" s="80">
        <v>136666</v>
      </c>
      <c r="Y8" s="80">
        <f>X8-N8</f>
        <v>9999.3300000000017</v>
      </c>
      <c r="Z8" s="80">
        <f>0.75*Y8</f>
        <v>7499.4975000000013</v>
      </c>
      <c r="AA8" s="80">
        <f>Y8-Z8</f>
        <v>2499.8325000000004</v>
      </c>
    </row>
    <row r="9" spans="1:27" ht="24" x14ac:dyDescent="0.2">
      <c r="A9" s="101">
        <v>2</v>
      </c>
      <c r="B9" s="101" t="s">
        <v>944</v>
      </c>
      <c r="C9" s="103" t="s">
        <v>847</v>
      </c>
      <c r="D9" s="101" t="s">
        <v>11</v>
      </c>
      <c r="E9" s="101" t="s">
        <v>960</v>
      </c>
      <c r="F9" s="101" t="s">
        <v>835</v>
      </c>
      <c r="G9" s="102">
        <f>+H9+I9</f>
        <v>796666.67</v>
      </c>
      <c r="H9" s="102">
        <v>597500</v>
      </c>
      <c r="I9" s="102">
        <f t="shared" si="8"/>
        <v>199166.67</v>
      </c>
      <c r="J9" s="102"/>
      <c r="K9" s="102">
        <v>0</v>
      </c>
      <c r="L9" s="102">
        <v>0</v>
      </c>
      <c r="M9" s="102">
        <v>0</v>
      </c>
      <c r="N9" s="102">
        <v>343666.67</v>
      </c>
      <c r="O9" s="102">
        <f>+G9-L9-M9-N9</f>
        <v>453000.00000000006</v>
      </c>
      <c r="P9" s="102">
        <v>0</v>
      </c>
      <c r="Q9" s="102">
        <v>0</v>
      </c>
      <c r="R9" s="102"/>
      <c r="S9" s="137">
        <v>-100000</v>
      </c>
      <c r="U9" s="139"/>
      <c r="X9" s="80"/>
      <c r="Y9" s="80"/>
      <c r="Z9" s="80"/>
      <c r="AA9" s="80"/>
    </row>
    <row r="10" spans="1:27" ht="48" x14ac:dyDescent="0.2">
      <c r="A10" s="81"/>
      <c r="B10" s="81" t="s">
        <v>946</v>
      </c>
      <c r="C10" s="94" t="s">
        <v>970</v>
      </c>
      <c r="D10" s="81" t="s">
        <v>8</v>
      </c>
      <c r="E10" s="81"/>
      <c r="F10" s="81"/>
      <c r="G10" s="85">
        <f>+G11+G12+G13</f>
        <v>6401111.8799999999</v>
      </c>
      <c r="H10" s="85">
        <f t="shared" ref="H10:N10" si="9">+H11+H12+H13</f>
        <v>4800833.91</v>
      </c>
      <c r="I10" s="85">
        <f t="shared" si="9"/>
        <v>1600277.97</v>
      </c>
      <c r="J10" s="85">
        <f t="shared" si="9"/>
        <v>0</v>
      </c>
      <c r="K10" s="85">
        <f t="shared" si="9"/>
        <v>0</v>
      </c>
      <c r="L10" s="85">
        <f t="shared" si="9"/>
        <v>195485.25</v>
      </c>
      <c r="M10" s="85">
        <f t="shared" si="9"/>
        <v>1309208.32</v>
      </c>
      <c r="N10" s="85">
        <f t="shared" si="9"/>
        <v>1684731.47</v>
      </c>
      <c r="O10" s="85">
        <f>+O11+O12+O13</f>
        <v>1433313.03</v>
      </c>
      <c r="P10" s="85">
        <f t="shared" ref="P10" si="10">+P11+P12+P13</f>
        <v>1213591.68</v>
      </c>
      <c r="Q10" s="85">
        <f t="shared" ref="Q10" si="11">+Q11+Q12+Q13</f>
        <v>564782.13</v>
      </c>
      <c r="R10" s="85"/>
      <c r="V10" s="80">
        <f>+H4+V8</f>
        <v>37829603.830000006</v>
      </c>
    </row>
    <row r="11" spans="1:27" ht="33.75" customHeight="1" x14ac:dyDescent="0.2">
      <c r="A11" s="101">
        <v>3</v>
      </c>
      <c r="B11" s="101" t="s">
        <v>949</v>
      </c>
      <c r="C11" s="103" t="s">
        <v>848</v>
      </c>
      <c r="D11" s="101" t="s">
        <v>11</v>
      </c>
      <c r="E11" s="101" t="s">
        <v>960</v>
      </c>
      <c r="F11" s="101" t="s">
        <v>835</v>
      </c>
      <c r="G11" s="102">
        <f t="shared" ref="G11:G13" si="12">+H11+I11</f>
        <v>1240000</v>
      </c>
      <c r="H11" s="102">
        <v>930000</v>
      </c>
      <c r="I11" s="102">
        <f t="shared" ref="I11:I16" si="13">ROUNDUP(H11/3,2)</f>
        <v>310000</v>
      </c>
      <c r="J11" s="102"/>
      <c r="K11" s="102">
        <v>0</v>
      </c>
      <c r="L11" s="102">
        <v>195485.25</v>
      </c>
      <c r="M11" s="102">
        <v>259208.32000000001</v>
      </c>
      <c r="N11" s="102">
        <v>322201.71999999997</v>
      </c>
      <c r="O11" s="102">
        <v>333313.03000000003</v>
      </c>
      <c r="P11" s="102">
        <v>129791.67999999999</v>
      </c>
      <c r="Q11" s="102">
        <v>0</v>
      </c>
      <c r="R11" s="102"/>
      <c r="X11" s="80">
        <v>534410</v>
      </c>
      <c r="Y11" s="80">
        <f>X11-N11</f>
        <v>212208.28000000003</v>
      </c>
      <c r="Z11" s="80">
        <f>0.75*Y11</f>
        <v>159156.21000000002</v>
      </c>
      <c r="AA11" s="80">
        <f>Y11-Z11</f>
        <v>53052.070000000007</v>
      </c>
    </row>
    <row r="12" spans="1:27" ht="24" x14ac:dyDescent="0.2">
      <c r="A12" s="101">
        <v>4</v>
      </c>
      <c r="B12" s="101" t="s">
        <v>945</v>
      </c>
      <c r="C12" s="103" t="s">
        <v>849</v>
      </c>
      <c r="D12" s="101" t="s">
        <v>11</v>
      </c>
      <c r="E12" s="101" t="s">
        <v>960</v>
      </c>
      <c r="F12" s="101" t="s">
        <v>835</v>
      </c>
      <c r="G12" s="102">
        <f t="shared" si="12"/>
        <v>4763511.88</v>
      </c>
      <c r="H12" s="102">
        <f>3411897.31+160736.6</f>
        <v>3572633.91</v>
      </c>
      <c r="I12" s="102">
        <f t="shared" si="13"/>
        <v>1190877.97</v>
      </c>
      <c r="J12" s="102"/>
      <c r="K12" s="102">
        <v>0</v>
      </c>
      <c r="L12" s="102">
        <v>0</v>
      </c>
      <c r="M12" s="102">
        <v>1000000</v>
      </c>
      <c r="N12" s="102">
        <v>1282529.75</v>
      </c>
      <c r="O12" s="150">
        <v>1000000</v>
      </c>
      <c r="P12" s="150">
        <v>1000000</v>
      </c>
      <c r="Q12" s="150">
        <f>266666.67+214315.46</f>
        <v>480982.13</v>
      </c>
      <c r="R12" s="102"/>
      <c r="S12" s="80">
        <f>3411897.31-930000</f>
        <v>2481897.31</v>
      </c>
      <c r="V12">
        <v>37829603.829999998</v>
      </c>
      <c r="W12" s="80">
        <v>160736.6</v>
      </c>
      <c r="X12" s="80"/>
      <c r="Y12" s="80"/>
      <c r="Z12" s="80"/>
      <c r="AA12" s="80"/>
    </row>
    <row r="13" spans="1:27" ht="24" x14ac:dyDescent="0.2">
      <c r="A13" s="101">
        <v>5</v>
      </c>
      <c r="B13" s="101" t="s">
        <v>982</v>
      </c>
      <c r="C13" s="103" t="s">
        <v>983</v>
      </c>
      <c r="D13" s="101" t="s">
        <v>11</v>
      </c>
      <c r="E13" s="101" t="s">
        <v>960</v>
      </c>
      <c r="F13" s="101" t="s">
        <v>835</v>
      </c>
      <c r="G13" s="102">
        <f t="shared" si="12"/>
        <v>397600</v>
      </c>
      <c r="H13" s="102">
        <v>298200</v>
      </c>
      <c r="I13" s="102">
        <f t="shared" si="13"/>
        <v>99400</v>
      </c>
      <c r="J13" s="102"/>
      <c r="K13" s="102">
        <v>0</v>
      </c>
      <c r="L13" s="102">
        <v>0</v>
      </c>
      <c r="M13" s="102">
        <v>50000</v>
      </c>
      <c r="N13" s="102">
        <v>80000</v>
      </c>
      <c r="O13" s="102">
        <v>100000</v>
      </c>
      <c r="P13" s="102">
        <v>83800</v>
      </c>
      <c r="Q13" s="102">
        <v>83800</v>
      </c>
      <c r="R13" s="102"/>
      <c r="S13" s="80">
        <v>298000</v>
      </c>
      <c r="V13" s="80">
        <f>+V12-V10</f>
        <v>0</v>
      </c>
      <c r="X13" s="80">
        <v>120000</v>
      </c>
      <c r="Y13" s="80">
        <f>X13-N13</f>
        <v>40000</v>
      </c>
      <c r="Z13" s="80">
        <f>0.75*Y13</f>
        <v>30000</v>
      </c>
      <c r="AA13" s="80">
        <f>Y13-Z13</f>
        <v>10000</v>
      </c>
    </row>
    <row r="14" spans="1:27" x14ac:dyDescent="0.2">
      <c r="A14" s="81"/>
      <c r="B14" s="81" t="s">
        <v>854</v>
      </c>
      <c r="C14" s="94" t="s">
        <v>850</v>
      </c>
      <c r="D14" s="81" t="s">
        <v>8</v>
      </c>
      <c r="E14" s="81"/>
      <c r="F14" s="81"/>
      <c r="G14" s="85">
        <f>SUM(G15:G16)</f>
        <v>1767000.01</v>
      </c>
      <c r="H14" s="85">
        <f t="shared" ref="H14:N14" si="14">SUM(H15:H16)</f>
        <v>1325250</v>
      </c>
      <c r="I14" s="85">
        <f t="shared" si="14"/>
        <v>441750.01</v>
      </c>
      <c r="J14" s="85">
        <f t="shared" si="14"/>
        <v>0</v>
      </c>
      <c r="K14" s="85">
        <f t="shared" si="14"/>
        <v>583325.97</v>
      </c>
      <c r="L14" s="85">
        <f t="shared" si="14"/>
        <v>134858.71</v>
      </c>
      <c r="M14" s="85">
        <f t="shared" si="14"/>
        <v>509259.13</v>
      </c>
      <c r="N14" s="85">
        <f t="shared" si="14"/>
        <v>150000</v>
      </c>
      <c r="O14" s="85">
        <f>SUM(O15:O16)</f>
        <v>150000</v>
      </c>
      <c r="P14" s="85">
        <f t="shared" ref="P14" si="15">SUM(P15:P16)</f>
        <v>118110.87</v>
      </c>
      <c r="Q14" s="85">
        <f t="shared" ref="Q14" si="16">SUM(Q15:Q16)</f>
        <v>121445.32999999999</v>
      </c>
      <c r="R14" s="85"/>
    </row>
    <row r="15" spans="1:27" ht="36" x14ac:dyDescent="0.2">
      <c r="A15" s="98">
        <v>6</v>
      </c>
      <c r="B15" s="98" t="s">
        <v>856</v>
      </c>
      <c r="C15" s="99" t="s">
        <v>851</v>
      </c>
      <c r="D15" s="98" t="s">
        <v>11</v>
      </c>
      <c r="E15" s="98" t="s">
        <v>961</v>
      </c>
      <c r="F15" s="98" t="s">
        <v>835</v>
      </c>
      <c r="G15" s="102">
        <v>845666.67</v>
      </c>
      <c r="H15" s="100">
        <v>634250</v>
      </c>
      <c r="I15" s="102">
        <v>211416.67</v>
      </c>
      <c r="J15" s="100"/>
      <c r="K15" s="111">
        <v>81189.960000000006</v>
      </c>
      <c r="L15" s="111">
        <f>7961.31+11525.83+83231</f>
        <v>102718.14</v>
      </c>
      <c r="M15" s="111">
        <v>454259.13</v>
      </c>
      <c r="N15" s="111">
        <v>60000</v>
      </c>
      <c r="O15" s="111">
        <v>60000</v>
      </c>
      <c r="P15" s="111">
        <f>49388.5-11277.63</f>
        <v>38110.870000000003</v>
      </c>
      <c r="Q15" s="111">
        <v>49388.57</v>
      </c>
      <c r="R15" s="145"/>
      <c r="X15" s="80">
        <v>493270</v>
      </c>
      <c r="Y15" s="80">
        <f>X15-N15</f>
        <v>433270</v>
      </c>
      <c r="Z15" s="80">
        <f>0.75*Y15</f>
        <v>324952.5</v>
      </c>
      <c r="AA15" s="80">
        <f>Y15-Z15</f>
        <v>108317.5</v>
      </c>
    </row>
    <row r="16" spans="1:27" ht="36" x14ac:dyDescent="0.2">
      <c r="A16" s="98">
        <v>7</v>
      </c>
      <c r="B16" s="98" t="s">
        <v>857</v>
      </c>
      <c r="C16" s="99" t="s">
        <v>852</v>
      </c>
      <c r="D16" s="98" t="s">
        <v>11</v>
      </c>
      <c r="E16" s="98" t="s">
        <v>961</v>
      </c>
      <c r="F16" s="98" t="s">
        <v>835</v>
      </c>
      <c r="G16" s="102">
        <f t="shared" ref="G16" si="17">+H16+I16</f>
        <v>921333.34</v>
      </c>
      <c r="H16" s="100">
        <v>691000</v>
      </c>
      <c r="I16" s="102">
        <f t="shared" si="13"/>
        <v>230333.34</v>
      </c>
      <c r="J16" s="100"/>
      <c r="K16" s="111">
        <v>502136.01</v>
      </c>
      <c r="L16" s="111">
        <v>32140.57</v>
      </c>
      <c r="M16" s="111">
        <v>55000</v>
      </c>
      <c r="N16" s="111">
        <v>90000</v>
      </c>
      <c r="O16" s="111">
        <v>90000</v>
      </c>
      <c r="P16" s="111">
        <v>80000</v>
      </c>
      <c r="Q16" s="111">
        <v>72056.759999999995</v>
      </c>
      <c r="R16" s="102"/>
      <c r="X16" s="80">
        <v>128400</v>
      </c>
      <c r="Y16" s="80">
        <f>X16-N16</f>
        <v>38400</v>
      </c>
      <c r="Z16" s="80">
        <f>0.75*Y16</f>
        <v>28800</v>
      </c>
      <c r="AA16" s="80">
        <f>Y16-Z16</f>
        <v>9600</v>
      </c>
    </row>
    <row r="17" spans="1:30" ht="24" x14ac:dyDescent="0.2">
      <c r="A17" s="119"/>
      <c r="B17" s="119" t="s">
        <v>859</v>
      </c>
      <c r="C17" s="120" t="s">
        <v>968</v>
      </c>
      <c r="D17" s="119" t="s">
        <v>840</v>
      </c>
      <c r="E17" s="119"/>
      <c r="F17" s="119"/>
      <c r="G17" s="121">
        <f>+G18</f>
        <v>633333.34</v>
      </c>
      <c r="H17" s="121">
        <f t="shared" ref="H17:Q21" si="18">+H18</f>
        <v>570000</v>
      </c>
      <c r="I17" s="121">
        <f t="shared" si="18"/>
        <v>63333.340000000004</v>
      </c>
      <c r="J17" s="121">
        <f t="shared" si="18"/>
        <v>0</v>
      </c>
      <c r="K17" s="121">
        <f t="shared" si="18"/>
        <v>1136.52</v>
      </c>
      <c r="L17" s="121">
        <f t="shared" si="18"/>
        <v>135538.72</v>
      </c>
      <c r="M17" s="121">
        <f t="shared" si="18"/>
        <v>70000</v>
      </c>
      <c r="N17" s="121">
        <f t="shared" si="18"/>
        <v>161111.10999999999</v>
      </c>
      <c r="O17" s="121">
        <f>+O18</f>
        <v>168880.32</v>
      </c>
      <c r="P17" s="121">
        <f t="shared" si="18"/>
        <v>55555.56</v>
      </c>
      <c r="Q17" s="121">
        <f t="shared" si="18"/>
        <v>41111.109999999986</v>
      </c>
      <c r="R17" s="121"/>
    </row>
    <row r="18" spans="1:30" ht="24" x14ac:dyDescent="0.2">
      <c r="A18" s="82"/>
      <c r="B18" s="82" t="s">
        <v>860</v>
      </c>
      <c r="C18" s="95" t="s">
        <v>858</v>
      </c>
      <c r="D18" s="82" t="s">
        <v>8</v>
      </c>
      <c r="E18" s="82"/>
      <c r="F18" s="82"/>
      <c r="G18" s="87">
        <f>+G19</f>
        <v>633333.34</v>
      </c>
      <c r="H18" s="87">
        <f t="shared" si="18"/>
        <v>570000</v>
      </c>
      <c r="I18" s="87">
        <f t="shared" si="18"/>
        <v>63333.340000000004</v>
      </c>
      <c r="J18" s="87">
        <f t="shared" si="18"/>
        <v>0</v>
      </c>
      <c r="K18" s="87">
        <f t="shared" si="18"/>
        <v>1136.52</v>
      </c>
      <c r="L18" s="87">
        <f t="shared" si="18"/>
        <v>135538.72</v>
      </c>
      <c r="M18" s="87">
        <f t="shared" si="18"/>
        <v>70000</v>
      </c>
      <c r="N18" s="87">
        <f t="shared" si="18"/>
        <v>161111.10999999999</v>
      </c>
      <c r="O18" s="87">
        <f>+O19</f>
        <v>168880.32</v>
      </c>
      <c r="P18" s="87">
        <f t="shared" si="18"/>
        <v>55555.56</v>
      </c>
      <c r="Q18" s="87">
        <f t="shared" si="18"/>
        <v>41111.109999999986</v>
      </c>
      <c r="R18" s="87"/>
    </row>
    <row r="19" spans="1:30" ht="36" x14ac:dyDescent="0.2">
      <c r="A19" s="101">
        <v>8</v>
      </c>
      <c r="B19" s="101" t="s">
        <v>861</v>
      </c>
      <c r="C19" s="103" t="s">
        <v>973</v>
      </c>
      <c r="D19" s="101" t="s">
        <v>11</v>
      </c>
      <c r="E19" s="101" t="s">
        <v>959</v>
      </c>
      <c r="F19" s="101" t="s">
        <v>835</v>
      </c>
      <c r="G19" s="102">
        <f t="shared" ref="G19" si="19">+H19+I19</f>
        <v>633333.34</v>
      </c>
      <c r="H19" s="102">
        <v>570000</v>
      </c>
      <c r="I19" s="102">
        <f>ROUNDUP(H19/9,2)</f>
        <v>63333.340000000004</v>
      </c>
      <c r="J19" s="102"/>
      <c r="K19" s="102">
        <v>1136.52</v>
      </c>
      <c r="L19" s="102">
        <v>135538.72</v>
      </c>
      <c r="M19" s="102">
        <v>70000</v>
      </c>
      <c r="N19" s="102">
        <v>161111.10999999999</v>
      </c>
      <c r="O19" s="102">
        <v>168880.32</v>
      </c>
      <c r="P19" s="102">
        <v>55555.56</v>
      </c>
      <c r="Q19" s="102">
        <v>41111.109999999986</v>
      </c>
      <c r="R19" s="102"/>
      <c r="X19" s="80">
        <v>172389</v>
      </c>
      <c r="Y19" s="80">
        <f>X19-N19</f>
        <v>11277.890000000014</v>
      </c>
      <c r="Z19" s="80">
        <f>Y19*0.9</f>
        <v>10150.101000000013</v>
      </c>
      <c r="AA19" s="80">
        <f>Y19-Z19</f>
        <v>1127.7890000000007</v>
      </c>
    </row>
    <row r="20" spans="1:30" ht="24" x14ac:dyDescent="0.2">
      <c r="A20" s="119"/>
      <c r="B20" s="119" t="s">
        <v>975</v>
      </c>
      <c r="C20" s="120" t="s">
        <v>976</v>
      </c>
      <c r="D20" s="119" t="s">
        <v>840</v>
      </c>
      <c r="E20" s="119"/>
      <c r="F20" s="119"/>
      <c r="G20" s="121">
        <f>+G21+G23</f>
        <v>2809999.8</v>
      </c>
      <c r="H20" s="121">
        <f t="shared" ref="H20:N20" si="20">+H21+H23</f>
        <v>2809999.8</v>
      </c>
      <c r="I20" s="121">
        <f t="shared" si="20"/>
        <v>0</v>
      </c>
      <c r="J20" s="121">
        <f t="shared" si="20"/>
        <v>0</v>
      </c>
      <c r="K20" s="121">
        <f t="shared" si="20"/>
        <v>0</v>
      </c>
      <c r="L20" s="121">
        <f t="shared" si="20"/>
        <v>0</v>
      </c>
      <c r="M20" s="121">
        <f t="shared" si="20"/>
        <v>230000</v>
      </c>
      <c r="N20" s="121">
        <f t="shared" si="20"/>
        <v>644999.94999999995</v>
      </c>
      <c r="O20" s="121">
        <f>+O21+O23</f>
        <v>644999.94999999995</v>
      </c>
      <c r="P20" s="121">
        <f t="shared" ref="P20" si="21">+P21+P23</f>
        <v>644999.94999999995</v>
      </c>
      <c r="Q20" s="121">
        <f t="shared" ref="Q20" si="22">+Q21+Q23</f>
        <v>644999.94999999995</v>
      </c>
      <c r="R20" s="121"/>
      <c r="AB20" s="80"/>
      <c r="AD20" s="80"/>
    </row>
    <row r="21" spans="1:30" x14ac:dyDescent="0.2">
      <c r="A21" s="82"/>
      <c r="B21" s="82" t="s">
        <v>977</v>
      </c>
      <c r="C21" s="94" t="s">
        <v>845</v>
      </c>
      <c r="D21" s="82" t="s">
        <v>8</v>
      </c>
      <c r="E21" s="82"/>
      <c r="F21" s="82"/>
      <c r="G21" s="87">
        <f>+G22</f>
        <v>1120000</v>
      </c>
      <c r="H21" s="87">
        <f t="shared" si="18"/>
        <v>1120000</v>
      </c>
      <c r="I21" s="87">
        <f t="shared" si="18"/>
        <v>0</v>
      </c>
      <c r="J21" s="87">
        <f t="shared" si="18"/>
        <v>0</v>
      </c>
      <c r="K21" s="87">
        <f t="shared" si="18"/>
        <v>0</v>
      </c>
      <c r="L21" s="87">
        <f t="shared" si="18"/>
        <v>0</v>
      </c>
      <c r="M21" s="87">
        <f t="shared" si="18"/>
        <v>120000</v>
      </c>
      <c r="N21" s="87">
        <f t="shared" si="18"/>
        <v>250000</v>
      </c>
      <c r="O21" s="87">
        <f>+O22</f>
        <v>250000</v>
      </c>
      <c r="P21" s="87">
        <f t="shared" si="18"/>
        <v>250000</v>
      </c>
      <c r="Q21" s="87">
        <f t="shared" si="18"/>
        <v>250000</v>
      </c>
      <c r="R21" s="87"/>
    </row>
    <row r="22" spans="1:30" ht="36" x14ac:dyDescent="0.2">
      <c r="A22" s="101">
        <v>9</v>
      </c>
      <c r="B22" s="101" t="s">
        <v>978</v>
      </c>
      <c r="C22" s="141" t="s">
        <v>989</v>
      </c>
      <c r="D22" s="101" t="s">
        <v>11</v>
      </c>
      <c r="E22" s="101" t="s">
        <v>960</v>
      </c>
      <c r="F22" s="101" t="s">
        <v>835</v>
      </c>
      <c r="G22" s="102">
        <f>+H22+I22</f>
        <v>1120000</v>
      </c>
      <c r="H22" s="102">
        <v>1120000</v>
      </c>
      <c r="I22" s="102">
        <v>0</v>
      </c>
      <c r="J22" s="102"/>
      <c r="K22" s="102">
        <v>0</v>
      </c>
      <c r="L22" s="102">
        <v>0</v>
      </c>
      <c r="M22" s="102">
        <v>120000</v>
      </c>
      <c r="N22" s="102">
        <v>250000</v>
      </c>
      <c r="O22" s="102">
        <v>250000</v>
      </c>
      <c r="P22" s="102">
        <v>250000</v>
      </c>
      <c r="Q22" s="102">
        <v>250000</v>
      </c>
      <c r="R22" s="102"/>
      <c r="S22" s="137">
        <v>840000</v>
      </c>
      <c r="X22" s="80"/>
      <c r="Y22" s="80"/>
      <c r="Z22" s="80"/>
      <c r="AA22" s="80"/>
    </row>
    <row r="23" spans="1:30" ht="48" x14ac:dyDescent="0.2">
      <c r="A23" s="81"/>
      <c r="B23" s="81" t="s">
        <v>980</v>
      </c>
      <c r="C23" s="94" t="s">
        <v>970</v>
      </c>
      <c r="D23" s="81" t="s">
        <v>8</v>
      </c>
      <c r="E23" s="81"/>
      <c r="F23" s="81"/>
      <c r="G23" s="85">
        <f>+G24</f>
        <v>1689999.8</v>
      </c>
      <c r="H23" s="85">
        <f t="shared" ref="H23:Q23" si="23">+H24</f>
        <v>1689999.8</v>
      </c>
      <c r="I23" s="85">
        <f t="shared" si="23"/>
        <v>0</v>
      </c>
      <c r="J23" s="85">
        <f t="shared" si="23"/>
        <v>0</v>
      </c>
      <c r="K23" s="85">
        <f t="shared" si="23"/>
        <v>0</v>
      </c>
      <c r="L23" s="85">
        <f t="shared" si="23"/>
        <v>0</v>
      </c>
      <c r="M23" s="85">
        <f t="shared" si="23"/>
        <v>110000</v>
      </c>
      <c r="N23" s="85">
        <f t="shared" si="23"/>
        <v>394999.95</v>
      </c>
      <c r="O23" s="85">
        <f>+O24</f>
        <v>394999.95</v>
      </c>
      <c r="P23" s="85">
        <f t="shared" si="23"/>
        <v>394999.95</v>
      </c>
      <c r="Q23" s="85">
        <f t="shared" si="23"/>
        <v>394999.95</v>
      </c>
      <c r="R23" s="85"/>
    </row>
    <row r="24" spans="1:30" ht="24" x14ac:dyDescent="0.2">
      <c r="A24" s="101">
        <v>10</v>
      </c>
      <c r="B24" s="101" t="s">
        <v>981</v>
      </c>
      <c r="C24" s="141" t="s">
        <v>979</v>
      </c>
      <c r="D24" s="101" t="s">
        <v>11</v>
      </c>
      <c r="E24" s="101" t="s">
        <v>960</v>
      </c>
      <c r="F24" s="101" t="s">
        <v>835</v>
      </c>
      <c r="G24" s="102">
        <f>+H24+I24</f>
        <v>1689999.8</v>
      </c>
      <c r="H24" s="102">
        <f>440000+1249999.8</f>
        <v>1689999.8</v>
      </c>
      <c r="I24" s="102">
        <v>0</v>
      </c>
      <c r="J24" s="102"/>
      <c r="K24" s="102">
        <v>0</v>
      </c>
      <c r="L24" s="102">
        <v>0</v>
      </c>
      <c r="M24" s="102">
        <v>110000</v>
      </c>
      <c r="N24" s="102">
        <v>394999.95</v>
      </c>
      <c r="O24" s="102">
        <v>394999.95</v>
      </c>
      <c r="P24" s="102">
        <v>394999.95</v>
      </c>
      <c r="Q24" s="102">
        <v>394999.95</v>
      </c>
      <c r="R24" s="102"/>
      <c r="S24" s="139">
        <v>440000</v>
      </c>
      <c r="W24" s="80">
        <v>1249999.8</v>
      </c>
      <c r="X24" s="80"/>
      <c r="Y24" s="80"/>
      <c r="Z24" s="80"/>
      <c r="AA24" s="80"/>
    </row>
    <row r="25" spans="1:30" ht="24" x14ac:dyDescent="0.2">
      <c r="A25" s="88"/>
      <c r="B25" s="88" t="s">
        <v>862</v>
      </c>
      <c r="C25" s="93" t="s">
        <v>863</v>
      </c>
      <c r="D25" s="88" t="s">
        <v>2</v>
      </c>
      <c r="E25" s="88"/>
      <c r="F25" s="88"/>
      <c r="G25" s="89">
        <f t="shared" ref="G25:Q25" si="24">+G26+G37</f>
        <v>11073333.34</v>
      </c>
      <c r="H25" s="89">
        <f t="shared" si="24"/>
        <v>8314000</v>
      </c>
      <c r="I25" s="89">
        <f t="shared" si="24"/>
        <v>2759333.34</v>
      </c>
      <c r="J25" s="89">
        <f t="shared" si="24"/>
        <v>0</v>
      </c>
      <c r="K25" s="89">
        <f t="shared" si="24"/>
        <v>555296.6</v>
      </c>
      <c r="L25" s="89">
        <f t="shared" si="24"/>
        <v>1526283.07</v>
      </c>
      <c r="M25" s="89">
        <f t="shared" si="24"/>
        <v>2577592.5499999998</v>
      </c>
      <c r="N25" s="89">
        <f t="shared" si="24"/>
        <v>2388666.67</v>
      </c>
      <c r="O25" s="89">
        <f t="shared" si="24"/>
        <v>2101385.3600000003</v>
      </c>
      <c r="P25" s="89">
        <f t="shared" si="24"/>
        <v>1598545.02</v>
      </c>
      <c r="Q25" s="89">
        <f t="shared" si="24"/>
        <v>325564.07000000053</v>
      </c>
      <c r="R25" s="89"/>
    </row>
    <row r="26" spans="1:30" ht="24" x14ac:dyDescent="0.2">
      <c r="A26" s="119"/>
      <c r="B26" s="119" t="s">
        <v>864</v>
      </c>
      <c r="C26" s="120" t="s">
        <v>969</v>
      </c>
      <c r="D26" s="119" t="s">
        <v>840</v>
      </c>
      <c r="E26" s="119"/>
      <c r="F26" s="119"/>
      <c r="G26" s="121">
        <f>+G27+G29+G31+G35</f>
        <v>11013333.34</v>
      </c>
      <c r="H26" s="121">
        <f t="shared" ref="H26:Q26" si="25">+H27+H29+H31+H35</f>
        <v>8260000</v>
      </c>
      <c r="I26" s="121">
        <f t="shared" si="25"/>
        <v>2753333.34</v>
      </c>
      <c r="J26" s="121">
        <f t="shared" si="25"/>
        <v>0</v>
      </c>
      <c r="K26" s="121">
        <f t="shared" si="25"/>
        <v>528767.72</v>
      </c>
      <c r="L26" s="121">
        <f t="shared" si="25"/>
        <v>1517334.34</v>
      </c>
      <c r="M26" s="121">
        <f t="shared" si="25"/>
        <v>2577592.5499999998</v>
      </c>
      <c r="N26" s="121">
        <f t="shared" si="25"/>
        <v>2388666.67</v>
      </c>
      <c r="O26" s="121">
        <f t="shared" si="25"/>
        <v>2076862.9700000002</v>
      </c>
      <c r="P26" s="121">
        <f t="shared" si="25"/>
        <v>1598545.02</v>
      </c>
      <c r="Q26" s="121">
        <f t="shared" si="25"/>
        <v>325564.07000000053</v>
      </c>
      <c r="R26" s="121"/>
    </row>
    <row r="27" spans="1:30" ht="24" x14ac:dyDescent="0.2">
      <c r="A27" s="81"/>
      <c r="B27" s="81" t="s">
        <v>876</v>
      </c>
      <c r="C27" s="94" t="s">
        <v>873</v>
      </c>
      <c r="D27" s="81" t="s">
        <v>8</v>
      </c>
      <c r="E27" s="81"/>
      <c r="F27" s="81"/>
      <c r="G27" s="85">
        <f>+G28</f>
        <v>1156666.6599999999</v>
      </c>
      <c r="H27" s="85">
        <f t="shared" ref="H27:Q27" si="26">+H28</f>
        <v>867500</v>
      </c>
      <c r="I27" s="85">
        <f t="shared" si="26"/>
        <v>289166.65999999997</v>
      </c>
      <c r="J27" s="85">
        <f t="shared" si="26"/>
        <v>0</v>
      </c>
      <c r="K27" s="85">
        <f t="shared" si="26"/>
        <v>0</v>
      </c>
      <c r="L27" s="85">
        <f t="shared" si="26"/>
        <v>0</v>
      </c>
      <c r="M27" s="85">
        <f t="shared" si="26"/>
        <v>821062.8</v>
      </c>
      <c r="N27" s="85">
        <f t="shared" si="26"/>
        <v>325000</v>
      </c>
      <c r="O27" s="85">
        <f>+O28</f>
        <v>10603.86</v>
      </c>
      <c r="P27" s="85">
        <f t="shared" si="26"/>
        <v>0</v>
      </c>
      <c r="Q27" s="85">
        <f t="shared" si="26"/>
        <v>0</v>
      </c>
      <c r="R27" s="85"/>
    </row>
    <row r="28" spans="1:30" ht="52.15" customHeight="1" x14ac:dyDescent="0.2">
      <c r="A28" s="125">
        <v>11</v>
      </c>
      <c r="B28" s="125" t="s">
        <v>877</v>
      </c>
      <c r="C28" s="127" t="s">
        <v>874</v>
      </c>
      <c r="D28" s="125" t="s">
        <v>11</v>
      </c>
      <c r="E28" s="125" t="s">
        <v>962</v>
      </c>
      <c r="F28" s="125" t="s">
        <v>835</v>
      </c>
      <c r="G28" s="102">
        <v>1156666.6599999999</v>
      </c>
      <c r="H28" s="100">
        <v>867500</v>
      </c>
      <c r="I28" s="102">
        <v>289166.65999999997</v>
      </c>
      <c r="J28" s="111"/>
      <c r="K28" s="111">
        <v>0</v>
      </c>
      <c r="L28" s="111">
        <v>0</v>
      </c>
      <c r="M28" s="111">
        <v>821062.8</v>
      </c>
      <c r="N28" s="111">
        <v>325000</v>
      </c>
      <c r="O28" s="111">
        <v>10603.86</v>
      </c>
      <c r="P28" s="111">
        <v>0</v>
      </c>
      <c r="Q28" s="111">
        <v>0</v>
      </c>
      <c r="R28" s="102"/>
      <c r="X28" s="80">
        <v>266667</v>
      </c>
      <c r="Y28" s="80">
        <f>X28-N28</f>
        <v>-58333</v>
      </c>
      <c r="Z28" s="80">
        <f>0.75*Y28</f>
        <v>-43749.75</v>
      </c>
      <c r="AA28" s="80">
        <f>Y28-Z28</f>
        <v>-14583.25</v>
      </c>
    </row>
    <row r="29" spans="1:30" x14ac:dyDescent="0.2">
      <c r="A29" s="81"/>
      <c r="B29" s="81" t="s">
        <v>1006</v>
      </c>
      <c r="C29" s="94" t="s">
        <v>279</v>
      </c>
      <c r="D29" s="81" t="s">
        <v>8</v>
      </c>
      <c r="E29" s="81"/>
      <c r="F29" s="81"/>
      <c r="G29" s="85">
        <f>+G30</f>
        <v>196666.67</v>
      </c>
      <c r="H29" s="85">
        <f t="shared" ref="H29:Q29" si="27">+H30</f>
        <v>147500</v>
      </c>
      <c r="I29" s="85">
        <f t="shared" si="27"/>
        <v>49166.670000000006</v>
      </c>
      <c r="J29" s="85">
        <f t="shared" si="27"/>
        <v>0</v>
      </c>
      <c r="K29" s="85">
        <f t="shared" si="27"/>
        <v>0</v>
      </c>
      <c r="L29" s="85">
        <f t="shared" si="27"/>
        <v>0</v>
      </c>
      <c r="M29" s="85">
        <f t="shared" si="27"/>
        <v>0</v>
      </c>
      <c r="N29" s="85">
        <f t="shared" si="27"/>
        <v>60000</v>
      </c>
      <c r="O29" s="85">
        <f t="shared" si="27"/>
        <v>60000</v>
      </c>
      <c r="P29" s="85">
        <f t="shared" si="27"/>
        <v>76666.67</v>
      </c>
      <c r="Q29" s="85">
        <f t="shared" si="27"/>
        <v>0</v>
      </c>
      <c r="R29" s="85"/>
    </row>
    <row r="30" spans="1:30" s="16" customFormat="1" ht="24" x14ac:dyDescent="0.2">
      <c r="A30" s="98">
        <v>16</v>
      </c>
      <c r="B30" s="98" t="s">
        <v>1007</v>
      </c>
      <c r="C30" s="99" t="s">
        <v>1008</v>
      </c>
      <c r="D30" s="98" t="s">
        <v>11</v>
      </c>
      <c r="E30" s="101" t="s">
        <v>959</v>
      </c>
      <c r="F30" s="98" t="s">
        <v>835</v>
      </c>
      <c r="G30" s="102">
        <f>+H30+I30</f>
        <v>196666.67</v>
      </c>
      <c r="H30" s="102">
        <v>147500</v>
      </c>
      <c r="I30" s="102">
        <f t="shared" ref="I30" si="28">ROUNDUP(H30/3,2)</f>
        <v>49166.670000000006</v>
      </c>
      <c r="J30" s="112"/>
      <c r="K30" s="100">
        <v>0</v>
      </c>
      <c r="L30" s="100">
        <v>0</v>
      </c>
      <c r="M30" s="100">
        <v>0</v>
      </c>
      <c r="N30" s="102">
        <v>60000</v>
      </c>
      <c r="O30" s="111">
        <v>60000</v>
      </c>
      <c r="P30" s="111">
        <v>76666.67</v>
      </c>
      <c r="Q30" s="111">
        <v>0</v>
      </c>
      <c r="R30" s="102"/>
      <c r="S30"/>
      <c r="T30"/>
      <c r="U30"/>
      <c r="V30"/>
      <c r="W30" s="80">
        <v>147500</v>
      </c>
      <c r="X30" s="60">
        <v>0</v>
      </c>
      <c r="Y30" s="80">
        <f>X30-N30</f>
        <v>-60000</v>
      </c>
      <c r="Z30" s="80">
        <f>0.75*Y30</f>
        <v>-45000</v>
      </c>
      <c r="AA30" s="80">
        <f>Y30-Z30</f>
        <v>-15000</v>
      </c>
    </row>
    <row r="31" spans="1:30" ht="48" x14ac:dyDescent="0.2">
      <c r="A31" s="81"/>
      <c r="B31" s="81" t="s">
        <v>865</v>
      </c>
      <c r="C31" s="94" t="s">
        <v>970</v>
      </c>
      <c r="D31" s="81" t="s">
        <v>8</v>
      </c>
      <c r="E31" s="81"/>
      <c r="F31" s="81"/>
      <c r="G31" s="85">
        <f>+G32+G33+G34</f>
        <v>9426666.6699999999</v>
      </c>
      <c r="H31" s="85">
        <f t="shared" ref="H31:Q31" si="29">+H32+H33+H34</f>
        <v>7070000</v>
      </c>
      <c r="I31" s="85">
        <f t="shared" si="29"/>
        <v>2356666.67</v>
      </c>
      <c r="J31" s="85">
        <f t="shared" si="29"/>
        <v>0</v>
      </c>
      <c r="K31" s="85">
        <f t="shared" si="29"/>
        <v>508545.55</v>
      </c>
      <c r="L31" s="85">
        <f t="shared" si="29"/>
        <v>1482279.97</v>
      </c>
      <c r="M31" s="85">
        <f t="shared" si="29"/>
        <v>1716666.67</v>
      </c>
      <c r="N31" s="85">
        <f t="shared" si="29"/>
        <v>1967666.67</v>
      </c>
      <c r="O31" s="85">
        <f t="shared" si="29"/>
        <v>1970259.11</v>
      </c>
      <c r="P31" s="85">
        <f t="shared" si="29"/>
        <v>1479878.35</v>
      </c>
      <c r="Q31" s="85">
        <f t="shared" si="29"/>
        <v>301370.3500000005</v>
      </c>
      <c r="R31" s="85"/>
    </row>
    <row r="32" spans="1:30" ht="48" x14ac:dyDescent="0.2">
      <c r="A32" s="117">
        <v>12</v>
      </c>
      <c r="B32" s="117" t="s">
        <v>867</v>
      </c>
      <c r="C32" s="126" t="s">
        <v>866</v>
      </c>
      <c r="D32" s="117" t="s">
        <v>11</v>
      </c>
      <c r="E32" s="101" t="s">
        <v>959</v>
      </c>
      <c r="F32" s="117" t="s">
        <v>835</v>
      </c>
      <c r="G32" s="102">
        <f t="shared" ref="G32:G34" si="30">+H32+I32</f>
        <v>300000</v>
      </c>
      <c r="H32" s="102">
        <v>225000</v>
      </c>
      <c r="I32" s="102">
        <f t="shared" ref="I32:I34" si="31">ROUNDUP(H32/3,2)</f>
        <v>75000</v>
      </c>
      <c r="J32" s="111"/>
      <c r="K32" s="111">
        <v>6302.95</v>
      </c>
      <c r="L32" s="111">
        <v>44660.04</v>
      </c>
      <c r="M32" s="111">
        <v>20000</v>
      </c>
      <c r="N32" s="111">
        <v>53333.33</v>
      </c>
      <c r="O32" s="111">
        <v>53333.33</v>
      </c>
      <c r="P32" s="111">
        <v>53333.33</v>
      </c>
      <c r="Q32" s="111">
        <v>69037.02</v>
      </c>
      <c r="R32" s="102"/>
      <c r="X32" s="80">
        <v>57066</v>
      </c>
      <c r="Y32" s="80">
        <f>X32-N32</f>
        <v>3732.6699999999983</v>
      </c>
      <c r="Z32" s="80">
        <f>0.75*Y32</f>
        <v>2799.5024999999987</v>
      </c>
      <c r="AA32" s="80">
        <f>Y32-Z32</f>
        <v>933.16749999999956</v>
      </c>
    </row>
    <row r="33" spans="1:27" ht="36" x14ac:dyDescent="0.2">
      <c r="A33" s="117">
        <v>13</v>
      </c>
      <c r="B33" s="117" t="s">
        <v>868</v>
      </c>
      <c r="C33" s="126" t="s">
        <v>870</v>
      </c>
      <c r="D33" s="117" t="s">
        <v>11</v>
      </c>
      <c r="E33" s="101" t="s">
        <v>959</v>
      </c>
      <c r="F33" s="117" t="s">
        <v>835</v>
      </c>
      <c r="G33" s="102">
        <f t="shared" si="30"/>
        <v>8900000</v>
      </c>
      <c r="H33" s="102">
        <v>6675000</v>
      </c>
      <c r="I33" s="102">
        <f t="shared" si="31"/>
        <v>2225000</v>
      </c>
      <c r="J33" s="111"/>
      <c r="K33" s="102">
        <v>490856.92</v>
      </c>
      <c r="L33" s="130">
        <v>1413598.05</v>
      </c>
      <c r="M33" s="130">
        <v>1666666.67</v>
      </c>
      <c r="N33" s="130">
        <v>1866666.67</v>
      </c>
      <c r="O33" s="130">
        <v>1866666.67</v>
      </c>
      <c r="P33" s="130">
        <v>1395545.02</v>
      </c>
      <c r="Q33" s="130">
        <v>200000.00000000047</v>
      </c>
      <c r="R33" s="102"/>
      <c r="X33" s="80"/>
      <c r="Y33" s="80"/>
      <c r="Z33" s="80"/>
      <c r="AA33" s="80"/>
    </row>
    <row r="34" spans="1:27" ht="60" x14ac:dyDescent="0.2">
      <c r="A34" s="117">
        <v>14</v>
      </c>
      <c r="B34" s="117" t="s">
        <v>869</v>
      </c>
      <c r="C34" s="126" t="s">
        <v>871</v>
      </c>
      <c r="D34" s="117" t="s">
        <v>11</v>
      </c>
      <c r="E34" s="143" t="s">
        <v>963</v>
      </c>
      <c r="F34" s="117" t="s">
        <v>835</v>
      </c>
      <c r="G34" s="111">
        <f t="shared" si="30"/>
        <v>226666.67</v>
      </c>
      <c r="H34" s="102">
        <f>100000+70000</f>
        <v>170000</v>
      </c>
      <c r="I34" s="102">
        <f t="shared" si="31"/>
        <v>56666.670000000006</v>
      </c>
      <c r="J34" s="111"/>
      <c r="K34" s="111">
        <v>11385.68</v>
      </c>
      <c r="L34" s="111">
        <v>24021.88</v>
      </c>
      <c r="M34" s="111">
        <v>30000</v>
      </c>
      <c r="N34" s="111">
        <v>47666.67</v>
      </c>
      <c r="O34" s="111">
        <v>50259.11</v>
      </c>
      <c r="P34" s="111">
        <v>31000</v>
      </c>
      <c r="Q34" s="111">
        <v>32333.330000000016</v>
      </c>
      <c r="R34" s="102"/>
      <c r="W34" s="80">
        <v>70000</v>
      </c>
      <c r="X34" s="80">
        <v>32667</v>
      </c>
      <c r="Y34" s="80">
        <f>X34-N34</f>
        <v>-14999.669999999998</v>
      </c>
      <c r="Z34" s="80">
        <f>0.75*Y34</f>
        <v>-11249.752499999999</v>
      </c>
      <c r="AA34" s="80">
        <f>Y34-Z34</f>
        <v>-3749.9174999999996</v>
      </c>
    </row>
    <row r="35" spans="1:27" x14ac:dyDescent="0.2">
      <c r="A35" s="81"/>
      <c r="B35" s="81" t="s">
        <v>875</v>
      </c>
      <c r="C35" s="94" t="s">
        <v>850</v>
      </c>
      <c r="D35" s="81" t="s">
        <v>8</v>
      </c>
      <c r="E35" s="81"/>
      <c r="F35" s="81"/>
      <c r="G35" s="85">
        <f t="shared" ref="G35:Q35" si="32">SUM(G36:G36)</f>
        <v>233333.34</v>
      </c>
      <c r="H35" s="85">
        <f t="shared" si="32"/>
        <v>175000</v>
      </c>
      <c r="I35" s="85">
        <f t="shared" si="32"/>
        <v>58333.340000000004</v>
      </c>
      <c r="J35" s="85">
        <f t="shared" si="32"/>
        <v>0</v>
      </c>
      <c r="K35" s="85">
        <f t="shared" si="32"/>
        <v>20222.169999999998</v>
      </c>
      <c r="L35" s="85">
        <f t="shared" si="32"/>
        <v>35054.370000000003</v>
      </c>
      <c r="M35" s="85">
        <f t="shared" si="32"/>
        <v>39863.08</v>
      </c>
      <c r="N35" s="85">
        <f t="shared" si="32"/>
        <v>36000</v>
      </c>
      <c r="O35" s="85">
        <f t="shared" si="32"/>
        <v>36000</v>
      </c>
      <c r="P35" s="85">
        <f t="shared" si="32"/>
        <v>42000</v>
      </c>
      <c r="Q35" s="85">
        <f t="shared" si="32"/>
        <v>24193.72</v>
      </c>
      <c r="R35" s="85"/>
    </row>
    <row r="36" spans="1:27" ht="48" x14ac:dyDescent="0.2">
      <c r="A36" s="125">
        <v>15</v>
      </c>
      <c r="B36" s="125" t="s">
        <v>929</v>
      </c>
      <c r="C36" s="127" t="s">
        <v>872</v>
      </c>
      <c r="D36" s="125" t="s">
        <v>11</v>
      </c>
      <c r="E36" s="98" t="s">
        <v>961</v>
      </c>
      <c r="F36" s="125" t="s">
        <v>835</v>
      </c>
      <c r="G36" s="102">
        <f>+H36+I36</f>
        <v>233333.34</v>
      </c>
      <c r="H36" s="100">
        <v>175000</v>
      </c>
      <c r="I36" s="102">
        <f t="shared" ref="I36" si="33">ROUNDUP(H36/3,2)</f>
        <v>58333.340000000004</v>
      </c>
      <c r="J36" s="112"/>
      <c r="K36" s="112">
        <v>20222.169999999998</v>
      </c>
      <c r="L36" s="112">
        <v>35054.370000000003</v>
      </c>
      <c r="M36" s="111">
        <v>39863.08</v>
      </c>
      <c r="N36" s="111">
        <v>36000</v>
      </c>
      <c r="O36" s="111">
        <v>36000</v>
      </c>
      <c r="P36" s="111">
        <v>42000</v>
      </c>
      <c r="Q36" s="111">
        <v>24193.72</v>
      </c>
      <c r="R36" s="102"/>
      <c r="X36" s="80">
        <v>54570</v>
      </c>
      <c r="Y36" s="80">
        <f>X36-N36</f>
        <v>18570</v>
      </c>
      <c r="Z36" s="80">
        <f>0.75*Y36</f>
        <v>13927.5</v>
      </c>
      <c r="AA36" s="80">
        <f>Y36-Z36</f>
        <v>4642.5</v>
      </c>
    </row>
    <row r="37" spans="1:27" ht="24" x14ac:dyDescent="0.2">
      <c r="A37" s="119"/>
      <c r="B37" s="119" t="s">
        <v>879</v>
      </c>
      <c r="C37" s="120" t="s">
        <v>971</v>
      </c>
      <c r="D37" s="119" t="s">
        <v>840</v>
      </c>
      <c r="E37" s="119"/>
      <c r="F37" s="119"/>
      <c r="G37" s="121">
        <f>+G38</f>
        <v>60000</v>
      </c>
      <c r="H37" s="121">
        <f t="shared" ref="H37:Q38" si="34">+H38</f>
        <v>54000</v>
      </c>
      <c r="I37" s="121">
        <f t="shared" si="34"/>
        <v>6000</v>
      </c>
      <c r="J37" s="121">
        <f t="shared" si="34"/>
        <v>0</v>
      </c>
      <c r="K37" s="121">
        <f t="shared" si="34"/>
        <v>26528.880000000001</v>
      </c>
      <c r="L37" s="121">
        <f t="shared" si="34"/>
        <v>8948.73</v>
      </c>
      <c r="M37" s="121">
        <f t="shared" si="34"/>
        <v>0</v>
      </c>
      <c r="N37" s="121">
        <f t="shared" si="34"/>
        <v>0</v>
      </c>
      <c r="O37" s="121">
        <f>+O38</f>
        <v>24522.39</v>
      </c>
      <c r="P37" s="121">
        <f t="shared" si="34"/>
        <v>0</v>
      </c>
      <c r="Q37" s="121">
        <f t="shared" si="34"/>
        <v>0</v>
      </c>
      <c r="R37" s="121"/>
    </row>
    <row r="38" spans="1:27" x14ac:dyDescent="0.2">
      <c r="A38" s="81"/>
      <c r="B38" s="81" t="s">
        <v>880</v>
      </c>
      <c r="C38" s="94" t="s">
        <v>279</v>
      </c>
      <c r="D38" s="81" t="s">
        <v>8</v>
      </c>
      <c r="E38" s="81"/>
      <c r="F38" s="81"/>
      <c r="G38" s="85">
        <f>+G39</f>
        <v>60000</v>
      </c>
      <c r="H38" s="85">
        <f t="shared" si="34"/>
        <v>54000</v>
      </c>
      <c r="I38" s="85">
        <f t="shared" si="34"/>
        <v>6000</v>
      </c>
      <c r="J38" s="85">
        <f t="shared" si="34"/>
        <v>0</v>
      </c>
      <c r="K38" s="85">
        <f t="shared" si="34"/>
        <v>26528.880000000001</v>
      </c>
      <c r="L38" s="85">
        <f t="shared" si="34"/>
        <v>8948.73</v>
      </c>
      <c r="M38" s="85">
        <f t="shared" si="34"/>
        <v>0</v>
      </c>
      <c r="N38" s="85">
        <f t="shared" si="34"/>
        <v>0</v>
      </c>
      <c r="O38" s="85">
        <f t="shared" si="34"/>
        <v>24522.39</v>
      </c>
      <c r="P38" s="85">
        <f t="shared" si="34"/>
        <v>0</v>
      </c>
      <c r="Q38" s="85">
        <f t="shared" si="34"/>
        <v>0</v>
      </c>
      <c r="R38" s="85"/>
    </row>
    <row r="39" spans="1:27" s="16" customFormat="1" ht="24" x14ac:dyDescent="0.2">
      <c r="A39" s="98">
        <v>17</v>
      </c>
      <c r="B39" s="98" t="s">
        <v>928</v>
      </c>
      <c r="C39" s="99" t="s">
        <v>878</v>
      </c>
      <c r="D39" s="98" t="s">
        <v>11</v>
      </c>
      <c r="E39" s="101" t="s">
        <v>959</v>
      </c>
      <c r="F39" s="98" t="s">
        <v>835</v>
      </c>
      <c r="G39" s="102">
        <f t="shared" ref="G39" si="35">+H39+I39</f>
        <v>60000</v>
      </c>
      <c r="H39" s="102">
        <v>54000</v>
      </c>
      <c r="I39" s="102">
        <f>ROUNDUP(H39/9,2)</f>
        <v>6000</v>
      </c>
      <c r="J39" s="112"/>
      <c r="K39" s="100">
        <v>26528.880000000001</v>
      </c>
      <c r="L39" s="100">
        <v>8948.73</v>
      </c>
      <c r="M39" s="100">
        <v>0</v>
      </c>
      <c r="N39" s="100">
        <v>0</v>
      </c>
      <c r="O39" s="112">
        <v>24522.39</v>
      </c>
      <c r="P39" s="112">
        <v>0</v>
      </c>
      <c r="Q39" s="112">
        <v>0</v>
      </c>
      <c r="R39" s="102"/>
      <c r="S39"/>
      <c r="T39"/>
      <c r="U39"/>
      <c r="V39"/>
      <c r="W39" s="80"/>
      <c r="X39" s="80"/>
      <c r="Y39" s="80">
        <f>X39-N39</f>
        <v>0</v>
      </c>
      <c r="Z39" s="80"/>
      <c r="AA39" s="80"/>
    </row>
    <row r="40" spans="1:27" ht="24" x14ac:dyDescent="0.2">
      <c r="A40" s="92"/>
      <c r="B40" s="92" t="s">
        <v>881</v>
      </c>
      <c r="C40" s="96" t="s">
        <v>480</v>
      </c>
      <c r="D40" s="92" t="s">
        <v>2</v>
      </c>
      <c r="E40" s="92"/>
      <c r="F40" s="92"/>
      <c r="G40" s="90">
        <f t="shared" ref="G40:N40" si="36">+G41+G75</f>
        <v>21784260.599999998</v>
      </c>
      <c r="H40" s="90">
        <f t="shared" si="36"/>
        <v>16914471.77</v>
      </c>
      <c r="I40" s="90">
        <f t="shared" si="36"/>
        <v>4869788.83</v>
      </c>
      <c r="J40" s="90">
        <f t="shared" si="36"/>
        <v>0</v>
      </c>
      <c r="K40" s="90">
        <f t="shared" si="36"/>
        <v>1551975.47</v>
      </c>
      <c r="L40" s="90">
        <f t="shared" si="36"/>
        <v>1455767.59</v>
      </c>
      <c r="M40" s="90">
        <f t="shared" si="36"/>
        <v>3190570.3814000003</v>
      </c>
      <c r="N40" s="90">
        <f t="shared" si="36"/>
        <v>6541790.5599999996</v>
      </c>
      <c r="O40" s="90">
        <f>+O41+O75</f>
        <v>5082209.1900000004</v>
      </c>
      <c r="P40" s="90">
        <f t="shared" ref="P40" si="37">+P41+P75</f>
        <v>2559875.5299999998</v>
      </c>
      <c r="Q40" s="90">
        <f t="shared" ref="Q40" si="38">+Q41+Q75</f>
        <v>1402071.8800000001</v>
      </c>
      <c r="R40" s="90"/>
    </row>
    <row r="41" spans="1:27" ht="24" x14ac:dyDescent="0.2">
      <c r="A41" s="128"/>
      <c r="B41" s="128" t="s">
        <v>882</v>
      </c>
      <c r="C41" s="120" t="s">
        <v>969</v>
      </c>
      <c r="D41" s="119" t="s">
        <v>840</v>
      </c>
      <c r="E41" s="128"/>
      <c r="F41" s="128"/>
      <c r="G41" s="129">
        <f>G42+G44+G51+G53+G56+G58+G64+G69+G71+G73</f>
        <v>17942418.359999999</v>
      </c>
      <c r="H41" s="129">
        <f>H42+H44+H51+H53+H56+H58+H64+H69+H71+H73</f>
        <v>13456813.76</v>
      </c>
      <c r="I41" s="129">
        <f t="shared" ref="I41:Q41" si="39">I42+I44+I51+I53+I56+I58+I64+I69+I71+I73</f>
        <v>4485604.5999999996</v>
      </c>
      <c r="J41" s="129">
        <f t="shared" si="39"/>
        <v>0</v>
      </c>
      <c r="K41" s="129">
        <f t="shared" si="39"/>
        <v>1157469.67</v>
      </c>
      <c r="L41" s="129">
        <f t="shared" si="39"/>
        <v>902715.44000000006</v>
      </c>
      <c r="M41" s="129">
        <f t="shared" si="39"/>
        <v>2793781.6414000001</v>
      </c>
      <c r="N41" s="129">
        <f t="shared" si="39"/>
        <v>5530349.6699999999</v>
      </c>
      <c r="O41" s="129">
        <f t="shared" si="39"/>
        <v>4146043.4200000004</v>
      </c>
      <c r="P41" s="129">
        <f t="shared" si="39"/>
        <v>2009986.64</v>
      </c>
      <c r="Q41" s="129">
        <f t="shared" si="39"/>
        <v>1402071.8800000001</v>
      </c>
      <c r="R41" s="129"/>
      <c r="T41" s="80"/>
    </row>
    <row r="42" spans="1:27" ht="24" x14ac:dyDescent="0.2">
      <c r="A42" s="83"/>
      <c r="B42" s="83" t="s">
        <v>992</v>
      </c>
      <c r="C42" s="97" t="s">
        <v>994</v>
      </c>
      <c r="D42" s="83" t="s">
        <v>8</v>
      </c>
      <c r="E42" s="83"/>
      <c r="F42" s="83"/>
      <c r="G42" s="86">
        <f>+G43</f>
        <v>410000</v>
      </c>
      <c r="H42" s="86">
        <f t="shared" ref="H42:Q42" si="40">+H43</f>
        <v>307500</v>
      </c>
      <c r="I42" s="86">
        <f t="shared" si="40"/>
        <v>102500</v>
      </c>
      <c r="J42" s="86">
        <f t="shared" si="40"/>
        <v>0</v>
      </c>
      <c r="K42" s="86">
        <f t="shared" si="40"/>
        <v>0</v>
      </c>
      <c r="L42" s="86">
        <f t="shared" si="40"/>
        <v>0</v>
      </c>
      <c r="M42" s="86">
        <f t="shared" si="40"/>
        <v>0</v>
      </c>
      <c r="N42" s="86">
        <f t="shared" si="40"/>
        <v>0</v>
      </c>
      <c r="O42" s="86">
        <f t="shared" si="40"/>
        <v>410000</v>
      </c>
      <c r="P42" s="86">
        <f t="shared" si="40"/>
        <v>0</v>
      </c>
      <c r="Q42" s="86">
        <f t="shared" si="40"/>
        <v>0</v>
      </c>
      <c r="R42" s="86"/>
    </row>
    <row r="43" spans="1:27" s="16" customFormat="1" ht="24" x14ac:dyDescent="0.2">
      <c r="A43" s="104">
        <v>18</v>
      </c>
      <c r="B43" s="104" t="s">
        <v>993</v>
      </c>
      <c r="C43" s="105" t="s">
        <v>995</v>
      </c>
      <c r="D43" s="104" t="s">
        <v>11</v>
      </c>
      <c r="E43" s="101" t="s">
        <v>960</v>
      </c>
      <c r="F43" s="138" t="s">
        <v>835</v>
      </c>
      <c r="G43" s="100">
        <f t="shared" ref="G43" si="41">+H43+I43</f>
        <v>410000</v>
      </c>
      <c r="H43" s="100">
        <v>307500</v>
      </c>
      <c r="I43" s="100">
        <f t="shared" ref="I43" si="42">ROUNDUP(H43/3,2)</f>
        <v>102500</v>
      </c>
      <c r="J43" s="106"/>
      <c r="K43" s="100">
        <v>0</v>
      </c>
      <c r="L43" s="100">
        <v>0</v>
      </c>
      <c r="M43" s="100">
        <v>0</v>
      </c>
      <c r="N43" s="100">
        <v>0</v>
      </c>
      <c r="O43" s="102">
        <v>410000</v>
      </c>
      <c r="P43" s="102">
        <v>0</v>
      </c>
      <c r="Q43" s="102">
        <v>0</v>
      </c>
      <c r="R43" s="100"/>
      <c r="S43" s="137"/>
      <c r="T43" s="136"/>
      <c r="U43"/>
      <c r="V43"/>
      <c r="W43" s="80">
        <v>307500</v>
      </c>
      <c r="X43" s="60">
        <v>0</v>
      </c>
      <c r="Y43" s="80">
        <f>X43-N43</f>
        <v>0</v>
      </c>
      <c r="Z43" s="80"/>
      <c r="AA43" s="80"/>
    </row>
    <row r="44" spans="1:27" x14ac:dyDescent="0.2">
      <c r="A44" s="83"/>
      <c r="B44" s="83" t="s">
        <v>913</v>
      </c>
      <c r="C44" s="97" t="s">
        <v>912</v>
      </c>
      <c r="D44" s="83" t="s">
        <v>8</v>
      </c>
      <c r="E44" s="83"/>
      <c r="F44" s="83"/>
      <c r="G44" s="86">
        <f>SUM(G45:G50)</f>
        <v>3000000</v>
      </c>
      <c r="H44" s="86">
        <f t="shared" ref="H44:N44" si="43">SUM(H45:H50)</f>
        <v>2250000</v>
      </c>
      <c r="I44" s="86">
        <f t="shared" si="43"/>
        <v>750000</v>
      </c>
      <c r="J44" s="86">
        <f t="shared" si="43"/>
        <v>0</v>
      </c>
      <c r="K44" s="86">
        <f t="shared" si="43"/>
        <v>0</v>
      </c>
      <c r="L44" s="86">
        <f t="shared" si="43"/>
        <v>227173.98</v>
      </c>
      <c r="M44" s="86">
        <f t="shared" si="43"/>
        <v>929922.2</v>
      </c>
      <c r="N44" s="86">
        <f t="shared" si="43"/>
        <v>1016406.8</v>
      </c>
      <c r="O44" s="86">
        <f>SUM(O45:O50)</f>
        <v>686497.02</v>
      </c>
      <c r="P44" s="86">
        <f t="shared" ref="P44" si="44">SUM(P45:P50)</f>
        <v>100000</v>
      </c>
      <c r="Q44" s="86">
        <f t="shared" ref="Q44" si="45">SUM(Q45:Q50)</f>
        <v>40000</v>
      </c>
      <c r="R44" s="86"/>
    </row>
    <row r="45" spans="1:27" ht="24" x14ac:dyDescent="0.2">
      <c r="A45" s="104">
        <v>19</v>
      </c>
      <c r="B45" s="104" t="s">
        <v>914</v>
      </c>
      <c r="C45" s="105" t="s">
        <v>915</v>
      </c>
      <c r="D45" s="104" t="s">
        <v>11</v>
      </c>
      <c r="E45" s="104" t="s">
        <v>920</v>
      </c>
      <c r="F45" s="138" t="s">
        <v>835</v>
      </c>
      <c r="G45" s="100">
        <f t="shared" ref="G45:G50" si="46">+H45+I45</f>
        <v>299900</v>
      </c>
      <c r="H45" s="100">
        <v>224925</v>
      </c>
      <c r="I45" s="100">
        <f t="shared" ref="I45:I50" si="47">ROUNDUP(H45/3,2)</f>
        <v>74975</v>
      </c>
      <c r="J45" s="106"/>
      <c r="K45" s="100">
        <v>0</v>
      </c>
      <c r="L45" s="100">
        <v>0</v>
      </c>
      <c r="M45" s="100">
        <v>106143</v>
      </c>
      <c r="N45" s="100">
        <v>193757</v>
      </c>
      <c r="O45" s="100">
        <v>0</v>
      </c>
      <c r="P45" s="100">
        <v>0</v>
      </c>
      <c r="Q45" s="100">
        <v>0</v>
      </c>
      <c r="R45" s="100"/>
      <c r="S45" s="137"/>
      <c r="T45" s="136"/>
    </row>
    <row r="46" spans="1:27" ht="48" x14ac:dyDescent="0.2">
      <c r="A46" s="104">
        <v>20</v>
      </c>
      <c r="B46" s="104" t="s">
        <v>916</v>
      </c>
      <c r="C46" s="105" t="s">
        <v>918</v>
      </c>
      <c r="D46" s="104" t="s">
        <v>11</v>
      </c>
      <c r="E46" s="104" t="s">
        <v>920</v>
      </c>
      <c r="F46" s="138" t="s">
        <v>835</v>
      </c>
      <c r="G46" s="100">
        <f t="shared" si="46"/>
        <v>1225100</v>
      </c>
      <c r="H46" s="100">
        <f>948825-30000</f>
        <v>918825</v>
      </c>
      <c r="I46" s="100">
        <f t="shared" si="47"/>
        <v>306275</v>
      </c>
      <c r="J46" s="106"/>
      <c r="K46" s="100">
        <v>0</v>
      </c>
      <c r="L46" s="100">
        <v>0</v>
      </c>
      <c r="M46" s="100">
        <v>295216.2</v>
      </c>
      <c r="N46" s="100">
        <v>383386.78</v>
      </c>
      <c r="O46" s="100">
        <f>+G46-M46-N46</f>
        <v>546497.02</v>
      </c>
      <c r="P46" s="100">
        <v>0</v>
      </c>
      <c r="Q46" s="100">
        <v>0</v>
      </c>
      <c r="R46" s="100"/>
      <c r="S46" s="80"/>
      <c r="T46" s="80"/>
    </row>
    <row r="47" spans="1:27" ht="24" x14ac:dyDescent="0.2">
      <c r="A47" s="104">
        <v>21</v>
      </c>
      <c r="B47" s="104" t="s">
        <v>917</v>
      </c>
      <c r="C47" s="135" t="s">
        <v>955</v>
      </c>
      <c r="D47" s="104" t="s">
        <v>11</v>
      </c>
      <c r="E47" s="104" t="s">
        <v>920</v>
      </c>
      <c r="F47" s="138" t="s">
        <v>835</v>
      </c>
      <c r="G47" s="100">
        <f t="shared" si="46"/>
        <v>185000</v>
      </c>
      <c r="H47" s="100">
        <v>138750</v>
      </c>
      <c r="I47" s="100">
        <f t="shared" si="47"/>
        <v>46250</v>
      </c>
      <c r="J47" s="106"/>
      <c r="K47" s="100">
        <v>0</v>
      </c>
      <c r="L47" s="100">
        <v>0</v>
      </c>
      <c r="M47" s="100">
        <v>119145</v>
      </c>
      <c r="N47" s="100">
        <v>65855</v>
      </c>
      <c r="O47" s="100">
        <v>0</v>
      </c>
      <c r="P47" s="100">
        <v>0</v>
      </c>
      <c r="Q47" s="100">
        <v>0</v>
      </c>
      <c r="R47" s="100"/>
      <c r="T47" s="80"/>
      <c r="U47" s="80"/>
    </row>
    <row r="48" spans="1:27" ht="24" x14ac:dyDescent="0.2">
      <c r="A48" s="104">
        <v>22</v>
      </c>
      <c r="B48" s="104" t="s">
        <v>932</v>
      </c>
      <c r="C48" s="105" t="s">
        <v>919</v>
      </c>
      <c r="D48" s="104" t="s">
        <v>11</v>
      </c>
      <c r="E48" s="104" t="s">
        <v>920</v>
      </c>
      <c r="F48" s="138" t="s">
        <v>835</v>
      </c>
      <c r="G48" s="100">
        <f t="shared" si="46"/>
        <v>720000</v>
      </c>
      <c r="H48" s="100">
        <v>540000</v>
      </c>
      <c r="I48" s="100">
        <f t="shared" si="47"/>
        <v>180000</v>
      </c>
      <c r="J48" s="106"/>
      <c r="K48" s="100">
        <v>0</v>
      </c>
      <c r="L48" s="100">
        <v>227173.98</v>
      </c>
      <c r="M48" s="100">
        <v>259418</v>
      </c>
      <c r="N48" s="100">
        <v>233408.02</v>
      </c>
      <c r="O48" s="100">
        <v>0</v>
      </c>
      <c r="P48" s="100">
        <v>0</v>
      </c>
      <c r="Q48" s="100">
        <v>0</v>
      </c>
      <c r="R48" s="100"/>
      <c r="U48" s="80"/>
    </row>
    <row r="49" spans="1:27" ht="48" x14ac:dyDescent="0.2">
      <c r="A49" s="104">
        <v>23</v>
      </c>
      <c r="B49" s="104" t="s">
        <v>947</v>
      </c>
      <c r="C49" s="105" t="s">
        <v>921</v>
      </c>
      <c r="D49" s="104" t="s">
        <v>11</v>
      </c>
      <c r="E49" s="104" t="s">
        <v>920</v>
      </c>
      <c r="F49" s="138" t="s">
        <v>835</v>
      </c>
      <c r="G49" s="102">
        <f t="shared" si="46"/>
        <v>0</v>
      </c>
      <c r="H49" s="102">
        <v>0</v>
      </c>
      <c r="I49" s="102">
        <f t="shared" si="47"/>
        <v>0</v>
      </c>
      <c r="J49" s="130"/>
      <c r="K49" s="102">
        <v>0</v>
      </c>
      <c r="L49" s="102">
        <v>0</v>
      </c>
      <c r="M49" s="102">
        <v>0</v>
      </c>
      <c r="N49" s="102">
        <v>0</v>
      </c>
      <c r="O49" s="102">
        <v>0</v>
      </c>
      <c r="P49" s="102">
        <v>0</v>
      </c>
      <c r="Q49" s="102">
        <v>0</v>
      </c>
      <c r="R49" s="102"/>
      <c r="S49" s="80"/>
      <c r="T49" s="80"/>
    </row>
    <row r="50" spans="1:27" ht="36" x14ac:dyDescent="0.2">
      <c r="A50" s="104">
        <v>24</v>
      </c>
      <c r="B50" s="104" t="s">
        <v>956</v>
      </c>
      <c r="C50" s="105" t="s">
        <v>905</v>
      </c>
      <c r="D50" s="104" t="s">
        <v>11</v>
      </c>
      <c r="E50" s="101" t="s">
        <v>960</v>
      </c>
      <c r="F50" s="138" t="s">
        <v>835</v>
      </c>
      <c r="G50" s="102">
        <f t="shared" si="46"/>
        <v>570000</v>
      </c>
      <c r="H50" s="102">
        <v>427500</v>
      </c>
      <c r="I50" s="102">
        <f t="shared" si="47"/>
        <v>142500</v>
      </c>
      <c r="J50" s="130"/>
      <c r="K50" s="102">
        <v>0</v>
      </c>
      <c r="L50" s="102">
        <v>0</v>
      </c>
      <c r="M50" s="102">
        <v>150000</v>
      </c>
      <c r="N50" s="102">
        <v>140000</v>
      </c>
      <c r="O50" s="102">
        <v>140000</v>
      </c>
      <c r="P50" s="102">
        <v>100000</v>
      </c>
      <c r="Q50" s="102">
        <v>40000</v>
      </c>
      <c r="R50" s="102"/>
      <c r="T50" s="80"/>
      <c r="X50" s="80"/>
      <c r="Y50" s="80"/>
      <c r="Z50" s="80"/>
      <c r="AA50" s="80"/>
    </row>
    <row r="51" spans="1:27" x14ac:dyDescent="0.2">
      <c r="A51" s="83"/>
      <c r="B51" s="83" t="s">
        <v>930</v>
      </c>
      <c r="C51" s="97" t="s">
        <v>922</v>
      </c>
      <c r="D51" s="83" t="s">
        <v>8</v>
      </c>
      <c r="E51" s="83"/>
      <c r="F51" s="83"/>
      <c r="G51" s="86">
        <f>+G52</f>
        <v>0</v>
      </c>
      <c r="H51" s="86">
        <f t="shared" ref="H51:Q51" si="48">+H52</f>
        <v>0</v>
      </c>
      <c r="I51" s="86">
        <f t="shared" si="48"/>
        <v>0</v>
      </c>
      <c r="J51" s="86">
        <f t="shared" si="48"/>
        <v>0</v>
      </c>
      <c r="K51" s="86">
        <f t="shared" si="48"/>
        <v>0</v>
      </c>
      <c r="L51" s="86">
        <f t="shared" si="48"/>
        <v>0</v>
      </c>
      <c r="M51" s="86">
        <f t="shared" si="48"/>
        <v>0</v>
      </c>
      <c r="N51" s="86">
        <f t="shared" si="48"/>
        <v>0</v>
      </c>
      <c r="O51" s="86">
        <f>+O52</f>
        <v>0</v>
      </c>
      <c r="P51" s="86">
        <f t="shared" si="48"/>
        <v>0</v>
      </c>
      <c r="Q51" s="86">
        <f t="shared" si="48"/>
        <v>0</v>
      </c>
      <c r="R51" s="86"/>
    </row>
    <row r="52" spans="1:27" ht="48" x14ac:dyDescent="0.2">
      <c r="A52" s="104">
        <v>25</v>
      </c>
      <c r="B52" s="104" t="s">
        <v>931</v>
      </c>
      <c r="C52" s="105" t="s">
        <v>923</v>
      </c>
      <c r="D52" s="104" t="s">
        <v>11</v>
      </c>
      <c r="E52" s="104" t="s">
        <v>920</v>
      </c>
      <c r="F52" s="104" t="s">
        <v>835</v>
      </c>
      <c r="G52" s="102">
        <v>0</v>
      </c>
      <c r="H52" s="102">
        <v>0</v>
      </c>
      <c r="I52" s="102">
        <v>0</v>
      </c>
      <c r="J52" s="106"/>
      <c r="K52" s="106">
        <v>0</v>
      </c>
      <c r="L52" s="106">
        <v>0</v>
      </c>
      <c r="M52" s="106">
        <v>0</v>
      </c>
      <c r="N52" s="106">
        <v>0</v>
      </c>
      <c r="O52" s="106">
        <v>0</v>
      </c>
      <c r="P52" s="106">
        <v>0</v>
      </c>
      <c r="Q52" s="106">
        <v>0</v>
      </c>
      <c r="R52" s="102"/>
      <c r="S52" s="80"/>
    </row>
    <row r="53" spans="1:27" x14ac:dyDescent="0.2">
      <c r="A53" s="83"/>
      <c r="B53" s="83" t="s">
        <v>885</v>
      </c>
      <c r="C53" s="97" t="s">
        <v>883</v>
      </c>
      <c r="D53" s="83" t="s">
        <v>8</v>
      </c>
      <c r="E53" s="83"/>
      <c r="F53" s="83"/>
      <c r="G53" s="86">
        <f>+G54+G55</f>
        <v>4021833.3200000003</v>
      </c>
      <c r="H53" s="86">
        <f t="shared" ref="H53:N53" si="49">+H54+H55</f>
        <v>3016374.99</v>
      </c>
      <c r="I53" s="86">
        <f t="shared" si="49"/>
        <v>1005458.33</v>
      </c>
      <c r="J53" s="86">
        <f t="shared" si="49"/>
        <v>0</v>
      </c>
      <c r="K53" s="86">
        <f t="shared" si="49"/>
        <v>78257.83</v>
      </c>
      <c r="L53" s="86">
        <f t="shared" si="49"/>
        <v>352778.82</v>
      </c>
      <c r="M53" s="86">
        <f t="shared" si="49"/>
        <v>791000</v>
      </c>
      <c r="N53" s="86">
        <f t="shared" si="49"/>
        <v>734666.67</v>
      </c>
      <c r="O53" s="86">
        <f>+O54+O55</f>
        <v>871698.63</v>
      </c>
      <c r="P53" s="86">
        <f t="shared" ref="P53" si="50">+P54+P55</f>
        <v>583333.32000000007</v>
      </c>
      <c r="Q53" s="86">
        <f t="shared" ref="Q53" si="51">+Q54+Q55</f>
        <v>610098.05000000005</v>
      </c>
      <c r="R53" s="86"/>
    </row>
    <row r="54" spans="1:27" ht="36" x14ac:dyDescent="0.2">
      <c r="A54" s="104">
        <v>26</v>
      </c>
      <c r="B54" s="104" t="s">
        <v>886</v>
      </c>
      <c r="C54" s="105" t="s">
        <v>884</v>
      </c>
      <c r="D54" s="104" t="s">
        <v>11</v>
      </c>
      <c r="E54" s="101" t="s">
        <v>959</v>
      </c>
      <c r="F54" s="104" t="s">
        <v>835</v>
      </c>
      <c r="G54" s="102">
        <f t="shared" ref="G54:G55" si="52">+H54+I54</f>
        <v>1038500</v>
      </c>
      <c r="H54" s="100">
        <v>778875</v>
      </c>
      <c r="I54" s="102">
        <f t="shared" ref="I54:I55" si="53">ROUNDUP(H54/3,2)</f>
        <v>259625</v>
      </c>
      <c r="J54" s="106"/>
      <c r="K54" s="106">
        <v>68694.47</v>
      </c>
      <c r="L54" s="106">
        <v>99707.47</v>
      </c>
      <c r="M54" s="130">
        <v>166666.67000000001</v>
      </c>
      <c r="N54" s="130">
        <v>186666.67</v>
      </c>
      <c r="O54" s="130">
        <v>186666.67</v>
      </c>
      <c r="P54" s="130">
        <v>186666.67</v>
      </c>
      <c r="Q54" s="130">
        <v>143431.38</v>
      </c>
      <c r="R54" s="102"/>
      <c r="X54" s="80">
        <v>199767</v>
      </c>
      <c r="Y54" s="80">
        <f>X54-N54</f>
        <v>13100.329999999987</v>
      </c>
      <c r="Z54" s="80">
        <f>0.75*Y54</f>
        <v>9825.2474999999904</v>
      </c>
      <c r="AA54" s="80">
        <f>Y54-Z54</f>
        <v>3275.0824999999968</v>
      </c>
    </row>
    <row r="55" spans="1:27" ht="36" x14ac:dyDescent="0.2">
      <c r="A55" s="104">
        <v>27</v>
      </c>
      <c r="B55" s="104" t="s">
        <v>948</v>
      </c>
      <c r="C55" s="105" t="s">
        <v>904</v>
      </c>
      <c r="D55" s="104" t="s">
        <v>11</v>
      </c>
      <c r="E55" s="101" t="s">
        <v>960</v>
      </c>
      <c r="F55" s="104" t="s">
        <v>835</v>
      </c>
      <c r="G55" s="102">
        <f t="shared" si="52"/>
        <v>2983333.3200000003</v>
      </c>
      <c r="H55" s="100">
        <f>2230000+7499.99</f>
        <v>2237499.9900000002</v>
      </c>
      <c r="I55" s="102">
        <f t="shared" si="53"/>
        <v>745833.33</v>
      </c>
      <c r="J55" s="106"/>
      <c r="K55" s="100">
        <v>9563.36</v>
      </c>
      <c r="L55" s="100">
        <v>253071.35</v>
      </c>
      <c r="M55" s="102">
        <v>624333.32999999996</v>
      </c>
      <c r="N55" s="102">
        <v>548000</v>
      </c>
      <c r="O55" s="102">
        <v>685031.96</v>
      </c>
      <c r="P55" s="102">
        <v>396666.65</v>
      </c>
      <c r="Q55" s="102">
        <v>466666.67</v>
      </c>
      <c r="R55" s="102"/>
      <c r="S55" s="80">
        <v>-270000</v>
      </c>
      <c r="T55" s="24"/>
      <c r="U55" s="142"/>
      <c r="V55" s="24"/>
      <c r="W55" s="80">
        <v>40000</v>
      </c>
      <c r="X55" s="80"/>
      <c r="Y55" s="80"/>
      <c r="Z55" s="80"/>
      <c r="AA55" s="80"/>
    </row>
    <row r="56" spans="1:27" x14ac:dyDescent="0.2">
      <c r="A56" s="83"/>
      <c r="B56" s="83" t="s">
        <v>890</v>
      </c>
      <c r="C56" s="97" t="s">
        <v>887</v>
      </c>
      <c r="D56" s="83" t="s">
        <v>8</v>
      </c>
      <c r="E56" s="83"/>
      <c r="F56" s="83"/>
      <c r="G56" s="86">
        <f>+G57</f>
        <v>651000</v>
      </c>
      <c r="H56" s="86">
        <f t="shared" ref="H56:Q56" si="54">+H57</f>
        <v>488250</v>
      </c>
      <c r="I56" s="86">
        <f t="shared" si="54"/>
        <v>162750</v>
      </c>
      <c r="J56" s="86">
        <f t="shared" si="54"/>
        <v>0</v>
      </c>
      <c r="K56" s="86">
        <f t="shared" si="54"/>
        <v>140.24</v>
      </c>
      <c r="L56" s="86">
        <f t="shared" si="54"/>
        <v>1380.43</v>
      </c>
      <c r="M56" s="86">
        <f t="shared" si="54"/>
        <v>190000</v>
      </c>
      <c r="N56" s="86">
        <f t="shared" si="54"/>
        <v>160000</v>
      </c>
      <c r="O56" s="86">
        <f>+O57</f>
        <v>90000</v>
      </c>
      <c r="P56" s="86">
        <f t="shared" si="54"/>
        <v>169479.33</v>
      </c>
      <c r="Q56" s="86">
        <f t="shared" si="54"/>
        <v>39999.999999999971</v>
      </c>
      <c r="R56" s="86"/>
      <c r="T56" s="24"/>
      <c r="U56" s="24"/>
      <c r="V56" s="24"/>
    </row>
    <row r="57" spans="1:27" ht="24" x14ac:dyDescent="0.2">
      <c r="A57" s="104">
        <v>28</v>
      </c>
      <c r="B57" s="104" t="s">
        <v>891</v>
      </c>
      <c r="C57" s="105" t="s">
        <v>888</v>
      </c>
      <c r="D57" s="104" t="s">
        <v>11</v>
      </c>
      <c r="E57" s="101" t="s">
        <v>959</v>
      </c>
      <c r="F57" s="104" t="s">
        <v>835</v>
      </c>
      <c r="G57" s="102">
        <f t="shared" ref="G57" si="55">+H57+I57</f>
        <v>651000</v>
      </c>
      <c r="H57" s="100">
        <v>488250</v>
      </c>
      <c r="I57" s="102">
        <f t="shared" ref="I57" si="56">ROUNDUP(H57/3,2)</f>
        <v>162750</v>
      </c>
      <c r="J57" s="106"/>
      <c r="K57" s="100">
        <v>140.24</v>
      </c>
      <c r="L57" s="100">
        <v>1380.43</v>
      </c>
      <c r="M57" s="102">
        <v>190000</v>
      </c>
      <c r="N57" s="102">
        <v>160000</v>
      </c>
      <c r="O57" s="102">
        <v>90000</v>
      </c>
      <c r="P57" s="102">
        <v>169479.33</v>
      </c>
      <c r="Q57" s="102">
        <v>39999.999999999971</v>
      </c>
      <c r="R57" s="102"/>
      <c r="X57" s="80">
        <v>171200</v>
      </c>
      <c r="Y57" s="80">
        <f>X57-N57</f>
        <v>11200</v>
      </c>
      <c r="Z57" s="80">
        <f>0.75*Y57</f>
        <v>8400</v>
      </c>
      <c r="AA57" s="80">
        <f>Y57-Z57</f>
        <v>2800</v>
      </c>
    </row>
    <row r="58" spans="1:27" x14ac:dyDescent="0.2">
      <c r="A58" s="83"/>
      <c r="B58" s="83" t="s">
        <v>909</v>
      </c>
      <c r="C58" s="97" t="s">
        <v>908</v>
      </c>
      <c r="D58" s="83" t="s">
        <v>8</v>
      </c>
      <c r="E58" s="83"/>
      <c r="F58" s="83"/>
      <c r="G58" s="86">
        <f>+G59+G61+G60+G62+G63</f>
        <v>6516044.2300000004</v>
      </c>
      <c r="H58" s="86">
        <f t="shared" ref="H58:Q58" si="57">+H59+H61+H60+H62+H63</f>
        <v>4887033.17</v>
      </c>
      <c r="I58" s="86">
        <f t="shared" si="57"/>
        <v>1629011.06</v>
      </c>
      <c r="J58" s="86">
        <f t="shared" si="57"/>
        <v>0</v>
      </c>
      <c r="K58" s="86">
        <f t="shared" si="57"/>
        <v>1000811.44</v>
      </c>
      <c r="L58" s="86">
        <f t="shared" si="57"/>
        <v>4539.2299999999996</v>
      </c>
      <c r="M58" s="86">
        <f t="shared" si="57"/>
        <v>444166.67</v>
      </c>
      <c r="N58" s="86">
        <f t="shared" si="57"/>
        <v>2671002.06</v>
      </c>
      <c r="O58" s="86">
        <f t="shared" si="57"/>
        <v>1125191.5</v>
      </c>
      <c r="P58" s="86">
        <f t="shared" si="57"/>
        <v>833333.33000000007</v>
      </c>
      <c r="Q58" s="86">
        <f t="shared" si="57"/>
        <v>437000</v>
      </c>
      <c r="R58" s="86"/>
    </row>
    <row r="59" spans="1:27" ht="24" x14ac:dyDescent="0.2">
      <c r="A59" s="104">
        <v>29</v>
      </c>
      <c r="B59" s="104" t="s">
        <v>910</v>
      </c>
      <c r="C59" s="105" t="s">
        <v>911</v>
      </c>
      <c r="D59" s="104" t="s">
        <v>11</v>
      </c>
      <c r="E59" s="101" t="s">
        <v>959</v>
      </c>
      <c r="F59" s="104" t="s">
        <v>835</v>
      </c>
      <c r="G59" s="102">
        <f t="shared" ref="G59:G61" si="58">+H59+I59</f>
        <v>300000</v>
      </c>
      <c r="H59" s="100">
        <v>225000</v>
      </c>
      <c r="I59" s="102">
        <f t="shared" ref="I59:I61" si="59">ROUNDUP(H59/3,2)</f>
        <v>75000</v>
      </c>
      <c r="J59" s="106"/>
      <c r="K59" s="100">
        <v>58311.44</v>
      </c>
      <c r="L59" s="100">
        <v>4539.2299999999996</v>
      </c>
      <c r="M59" s="100">
        <v>80000</v>
      </c>
      <c r="N59" s="100">
        <v>70699.17</v>
      </c>
      <c r="O59" s="100">
        <v>86450.16</v>
      </c>
      <c r="P59" s="100">
        <v>0</v>
      </c>
      <c r="Q59" s="100">
        <v>0</v>
      </c>
      <c r="R59" s="102"/>
      <c r="X59" s="80">
        <v>76000</v>
      </c>
      <c r="Y59" s="80">
        <f>X59-N59</f>
        <v>5300.8300000000017</v>
      </c>
      <c r="Z59" s="80">
        <f>0.75*Y59</f>
        <v>3975.6225000000013</v>
      </c>
      <c r="AA59" s="80">
        <f>Y59-Z59</f>
        <v>1325.2075000000004</v>
      </c>
    </row>
    <row r="60" spans="1:27" ht="24" x14ac:dyDescent="0.2">
      <c r="A60" s="138">
        <v>30</v>
      </c>
      <c r="B60" s="138" t="s">
        <v>984</v>
      </c>
      <c r="C60" s="140" t="s">
        <v>986</v>
      </c>
      <c r="D60" s="138" t="s">
        <v>11</v>
      </c>
      <c r="E60" s="101" t="s">
        <v>963</v>
      </c>
      <c r="F60" s="138" t="s">
        <v>835</v>
      </c>
      <c r="G60" s="102">
        <f t="shared" ref="G60" si="60">+H60+I60</f>
        <v>1172377.56</v>
      </c>
      <c r="H60" s="102">
        <v>879283.17</v>
      </c>
      <c r="I60" s="102">
        <f t="shared" ref="I60" si="61">ROUNDUP(H60/3,2)</f>
        <v>293094.39</v>
      </c>
      <c r="J60" s="130"/>
      <c r="K60" s="102">
        <v>0</v>
      </c>
      <c r="L60" s="102">
        <v>0</v>
      </c>
      <c r="M60" s="102">
        <v>0</v>
      </c>
      <c r="N60" s="102">
        <v>1172377.56</v>
      </c>
      <c r="O60" s="102">
        <v>0</v>
      </c>
      <c r="P60" s="102">
        <v>0</v>
      </c>
      <c r="Q60" s="102">
        <v>0</v>
      </c>
      <c r="R60" s="102"/>
      <c r="S60" s="80">
        <f>+H60</f>
        <v>879283.17</v>
      </c>
      <c r="X60" s="80"/>
      <c r="Y60" s="80"/>
      <c r="Z60" s="80"/>
      <c r="AA60" s="80"/>
    </row>
    <row r="61" spans="1:27" ht="24" x14ac:dyDescent="0.2">
      <c r="A61" s="104">
        <v>31</v>
      </c>
      <c r="B61" s="138" t="s">
        <v>952</v>
      </c>
      <c r="C61" s="140" t="s">
        <v>907</v>
      </c>
      <c r="D61" s="138" t="s">
        <v>11</v>
      </c>
      <c r="E61" s="101" t="s">
        <v>960</v>
      </c>
      <c r="F61" s="138" t="s">
        <v>835</v>
      </c>
      <c r="G61" s="102">
        <f t="shared" si="58"/>
        <v>2656666.67</v>
      </c>
      <c r="H61" s="102">
        <f>515000+427500+800000+250000</f>
        <v>1992500</v>
      </c>
      <c r="I61" s="102">
        <f t="shared" si="59"/>
        <v>664166.67000000004</v>
      </c>
      <c r="J61" s="130"/>
      <c r="K61" s="102">
        <v>942500</v>
      </c>
      <c r="L61" s="102">
        <v>0</v>
      </c>
      <c r="M61" s="102">
        <v>364166.67</v>
      </c>
      <c r="N61" s="102">
        <v>577925.32999999996</v>
      </c>
      <c r="O61" s="102">
        <v>438741.34</v>
      </c>
      <c r="P61" s="102">
        <v>333333.33</v>
      </c>
      <c r="Q61" s="102">
        <v>0</v>
      </c>
      <c r="R61" s="102"/>
      <c r="S61" s="80">
        <v>800000</v>
      </c>
      <c r="U61" s="80"/>
      <c r="W61" s="80">
        <v>250000</v>
      </c>
      <c r="X61" s="80"/>
      <c r="Y61" s="80"/>
      <c r="Z61" s="80"/>
      <c r="AA61" s="80"/>
    </row>
    <row r="62" spans="1:27" x14ac:dyDescent="0.2">
      <c r="A62" s="138">
        <v>32</v>
      </c>
      <c r="B62" s="138" t="s">
        <v>985</v>
      </c>
      <c r="C62" s="140" t="s">
        <v>988</v>
      </c>
      <c r="D62" s="138" t="s">
        <v>11</v>
      </c>
      <c r="E62" s="101" t="s">
        <v>987</v>
      </c>
      <c r="F62" s="138" t="s">
        <v>835</v>
      </c>
      <c r="G62" s="102">
        <f t="shared" ref="G62:G63" si="62">+H62+I62</f>
        <v>250000</v>
      </c>
      <c r="H62" s="102">
        <v>187500</v>
      </c>
      <c r="I62" s="102">
        <f t="shared" ref="I62:I63" si="63">ROUNDUP(H62/3,2)</f>
        <v>62500</v>
      </c>
      <c r="J62" s="130"/>
      <c r="K62" s="102">
        <v>0</v>
      </c>
      <c r="L62" s="102">
        <v>0</v>
      </c>
      <c r="M62" s="102">
        <v>0</v>
      </c>
      <c r="N62" s="102">
        <v>250000</v>
      </c>
      <c r="O62" s="102">
        <v>0</v>
      </c>
      <c r="P62" s="102">
        <v>0</v>
      </c>
      <c r="Q62" s="102">
        <v>0</v>
      </c>
      <c r="R62" s="102"/>
      <c r="S62" s="80"/>
      <c r="U62" s="80"/>
      <c r="W62" s="80">
        <v>75000</v>
      </c>
      <c r="X62" s="80">
        <v>150000</v>
      </c>
      <c r="Y62" s="80">
        <f>X62-N62</f>
        <v>-100000</v>
      </c>
      <c r="Z62" s="80">
        <f>0.75*Y62</f>
        <v>-75000</v>
      </c>
      <c r="AA62" s="80">
        <f>Y62-Z62</f>
        <v>-25000</v>
      </c>
    </row>
    <row r="63" spans="1:27" ht="30" x14ac:dyDescent="0.25">
      <c r="A63" s="146">
        <v>33</v>
      </c>
      <c r="B63" s="146" t="s">
        <v>990</v>
      </c>
      <c r="C63" s="147" t="s">
        <v>991</v>
      </c>
      <c r="D63" s="146" t="s">
        <v>11</v>
      </c>
      <c r="E63" s="117" t="s">
        <v>959</v>
      </c>
      <c r="F63" s="146" t="s">
        <v>835</v>
      </c>
      <c r="G63" s="111">
        <f t="shared" si="62"/>
        <v>2137000</v>
      </c>
      <c r="H63" s="112">
        <v>1602750</v>
      </c>
      <c r="I63" s="111">
        <f t="shared" si="63"/>
        <v>534250</v>
      </c>
      <c r="J63" s="106"/>
      <c r="K63" s="112">
        <v>0</v>
      </c>
      <c r="L63" s="112">
        <v>0</v>
      </c>
      <c r="M63" s="112">
        <v>0</v>
      </c>
      <c r="N63" s="111">
        <v>600000</v>
      </c>
      <c r="O63" s="111">
        <v>600000</v>
      </c>
      <c r="P63" s="111">
        <v>500000</v>
      </c>
      <c r="Q63" s="111">
        <v>437000</v>
      </c>
      <c r="R63" s="111"/>
      <c r="S63" s="80"/>
      <c r="U63" s="80"/>
      <c r="W63" s="80">
        <v>1602750</v>
      </c>
      <c r="X63" s="60">
        <v>634500</v>
      </c>
      <c r="Y63" s="80">
        <f>X63-N63</f>
        <v>34500</v>
      </c>
      <c r="Z63" s="80">
        <f>0.75*Y63</f>
        <v>25875</v>
      </c>
      <c r="AA63" s="80">
        <f>Y63-Z63</f>
        <v>8625</v>
      </c>
    </row>
    <row r="64" spans="1:27" x14ac:dyDescent="0.2">
      <c r="A64" s="83"/>
      <c r="B64" s="83" t="s">
        <v>893</v>
      </c>
      <c r="C64" s="97" t="s">
        <v>845</v>
      </c>
      <c r="D64" s="83" t="s">
        <v>8</v>
      </c>
      <c r="E64" s="83"/>
      <c r="F64" s="83"/>
      <c r="G64" s="86">
        <f>SUM(G65:G68)</f>
        <v>1821040.81</v>
      </c>
      <c r="H64" s="86">
        <f t="shared" ref="H64:Q64" si="64">SUM(H65:H68)</f>
        <v>1365780.6</v>
      </c>
      <c r="I64" s="86">
        <f t="shared" si="64"/>
        <v>455260.21</v>
      </c>
      <c r="J64" s="86">
        <f t="shared" si="64"/>
        <v>0</v>
      </c>
      <c r="K64" s="86">
        <f t="shared" si="64"/>
        <v>15516.16</v>
      </c>
      <c r="L64" s="86">
        <f t="shared" si="64"/>
        <v>109639.31999999999</v>
      </c>
      <c r="M64" s="86">
        <f t="shared" si="64"/>
        <v>194305.95999999996</v>
      </c>
      <c r="N64" s="86">
        <f t="shared" si="64"/>
        <v>728274.14</v>
      </c>
      <c r="O64" s="86">
        <f t="shared" si="64"/>
        <v>683482.28000000014</v>
      </c>
      <c r="P64" s="86">
        <f t="shared" si="64"/>
        <v>44666.67</v>
      </c>
      <c r="Q64" s="86">
        <f t="shared" si="64"/>
        <v>45156.28</v>
      </c>
      <c r="R64" s="86"/>
    </row>
    <row r="65" spans="1:27" ht="24" x14ac:dyDescent="0.2">
      <c r="A65" s="104">
        <v>34</v>
      </c>
      <c r="B65" s="104" t="s">
        <v>934</v>
      </c>
      <c r="C65" s="105" t="s">
        <v>894</v>
      </c>
      <c r="D65" s="104" t="s">
        <v>11</v>
      </c>
      <c r="E65" s="104" t="s">
        <v>964</v>
      </c>
      <c r="F65" s="104" t="s">
        <v>835</v>
      </c>
      <c r="G65" s="102">
        <f t="shared" ref="G65:G67" si="65">+H65+I65</f>
        <v>80000</v>
      </c>
      <c r="H65" s="100">
        <v>60000</v>
      </c>
      <c r="I65" s="102">
        <f t="shared" ref="I65:I67" si="66">ROUNDUP(H65/3,2)</f>
        <v>20000</v>
      </c>
      <c r="J65" s="106"/>
      <c r="K65" s="100">
        <v>0</v>
      </c>
      <c r="L65" s="100">
        <v>0</v>
      </c>
      <c r="M65" s="102">
        <v>11510.380000000001</v>
      </c>
      <c r="N65" s="102">
        <v>16000</v>
      </c>
      <c r="O65" s="102">
        <v>16000</v>
      </c>
      <c r="P65" s="102">
        <v>18000</v>
      </c>
      <c r="Q65" s="102">
        <v>18489.62</v>
      </c>
      <c r="R65" s="102"/>
      <c r="X65" s="80"/>
      <c r="Y65" s="80"/>
      <c r="Z65" s="80"/>
      <c r="AA65" s="80"/>
    </row>
    <row r="66" spans="1:27" ht="48" x14ac:dyDescent="0.2">
      <c r="A66" s="104">
        <v>35</v>
      </c>
      <c r="B66" s="104" t="s">
        <v>935</v>
      </c>
      <c r="C66" s="105" t="s">
        <v>1004</v>
      </c>
      <c r="D66" s="104" t="s">
        <v>11</v>
      </c>
      <c r="E66" s="104" t="s">
        <v>962</v>
      </c>
      <c r="F66" s="104" t="s">
        <v>835</v>
      </c>
      <c r="G66" s="102">
        <f t="shared" si="65"/>
        <v>1275207.47</v>
      </c>
      <c r="H66" s="151">
        <f>502200+454205.6</f>
        <v>956405.6</v>
      </c>
      <c r="I66" s="102">
        <f t="shared" si="66"/>
        <v>318801.87</v>
      </c>
      <c r="J66" s="106"/>
      <c r="K66" s="100">
        <v>0</v>
      </c>
      <c r="L66" s="100">
        <v>10312.67</v>
      </c>
      <c r="M66" s="102">
        <v>39462.239999999998</v>
      </c>
      <c r="N66" s="102">
        <v>605607.47</v>
      </c>
      <c r="O66" s="102">
        <v>619825.09000000008</v>
      </c>
      <c r="P66" s="102">
        <v>0</v>
      </c>
      <c r="Q66" s="102">
        <v>0</v>
      </c>
      <c r="R66" s="145"/>
      <c r="W66" s="80">
        <v>454205.6</v>
      </c>
      <c r="X66" s="80">
        <v>1134400</v>
      </c>
      <c r="Y66" s="80">
        <f>X66-N66</f>
        <v>528792.53</v>
      </c>
      <c r="Z66" s="80">
        <f>0.75*Y66</f>
        <v>396594.39750000002</v>
      </c>
      <c r="AA66" s="80">
        <f>Y66-Z66</f>
        <v>132198.13250000001</v>
      </c>
    </row>
    <row r="67" spans="1:27" ht="24" x14ac:dyDescent="0.2">
      <c r="A67" s="104">
        <v>36</v>
      </c>
      <c r="B67" s="104" t="s">
        <v>936</v>
      </c>
      <c r="C67" s="105" t="s">
        <v>895</v>
      </c>
      <c r="D67" s="104" t="s">
        <v>11</v>
      </c>
      <c r="E67" s="101" t="s">
        <v>959</v>
      </c>
      <c r="F67" s="104" t="s">
        <v>835</v>
      </c>
      <c r="G67" s="102">
        <f t="shared" si="65"/>
        <v>332500</v>
      </c>
      <c r="H67" s="100">
        <v>249375</v>
      </c>
      <c r="I67" s="102">
        <f t="shared" si="66"/>
        <v>83125</v>
      </c>
      <c r="J67" s="106"/>
      <c r="K67" s="100">
        <v>15516.16</v>
      </c>
      <c r="L67" s="100">
        <v>99326.65</v>
      </c>
      <c r="M67" s="102">
        <v>116666.67</v>
      </c>
      <c r="N67" s="102">
        <v>80000</v>
      </c>
      <c r="O67" s="102">
        <v>20990.52</v>
      </c>
      <c r="P67" s="102">
        <v>0</v>
      </c>
      <c r="Q67" s="102">
        <v>0</v>
      </c>
      <c r="R67" s="102"/>
      <c r="X67" s="80"/>
      <c r="Y67" s="80"/>
      <c r="Z67" s="80"/>
      <c r="AA67" s="80"/>
    </row>
    <row r="68" spans="1:27" ht="24" x14ac:dyDescent="0.2">
      <c r="A68" s="146">
        <v>37</v>
      </c>
      <c r="B68" s="146" t="s">
        <v>996</v>
      </c>
      <c r="C68" s="148" t="s">
        <v>997</v>
      </c>
      <c r="D68" s="146" t="s">
        <v>11</v>
      </c>
      <c r="E68" s="117" t="s">
        <v>998</v>
      </c>
      <c r="F68" s="146" t="s">
        <v>835</v>
      </c>
      <c r="G68" s="111">
        <f t="shared" ref="G68" si="67">+H68+I68</f>
        <v>133333.34</v>
      </c>
      <c r="H68" s="112">
        <v>100000</v>
      </c>
      <c r="I68" s="111">
        <f t="shared" ref="I68" si="68">ROUNDUP(H68/3,2)</f>
        <v>33333.340000000004</v>
      </c>
      <c r="J68" s="106"/>
      <c r="K68" s="112">
        <v>0</v>
      </c>
      <c r="L68" s="112">
        <v>0</v>
      </c>
      <c r="M68" s="149">
        <v>26666.67</v>
      </c>
      <c r="N68" s="149">
        <v>26666.67</v>
      </c>
      <c r="O68" s="149">
        <v>26666.67</v>
      </c>
      <c r="P68" s="149">
        <v>26666.67</v>
      </c>
      <c r="Q68" s="149">
        <v>26666.66</v>
      </c>
      <c r="R68" s="111"/>
      <c r="W68" s="80">
        <v>100000</v>
      </c>
      <c r="X68" s="60">
        <v>0</v>
      </c>
      <c r="Y68" s="80">
        <f>X68-N68</f>
        <v>-26666.67</v>
      </c>
      <c r="Z68" s="80">
        <f>0.75*Y68</f>
        <v>-20000.002499999999</v>
      </c>
      <c r="AA68" s="80">
        <f>Y68-Z68</f>
        <v>-6666.6674999999996</v>
      </c>
    </row>
    <row r="69" spans="1:27" ht="48" x14ac:dyDescent="0.2">
      <c r="A69" s="81"/>
      <c r="B69" s="81" t="s">
        <v>950</v>
      </c>
      <c r="C69" s="94" t="s">
        <v>970</v>
      </c>
      <c r="D69" s="81" t="s">
        <v>8</v>
      </c>
      <c r="E69" s="81"/>
      <c r="F69" s="81"/>
      <c r="G69" s="85">
        <f>+G70</f>
        <v>570000</v>
      </c>
      <c r="H69" s="85">
        <f t="shared" ref="H69:Q69" si="69">+H70</f>
        <v>427500</v>
      </c>
      <c r="I69" s="85">
        <f t="shared" si="69"/>
        <v>142500</v>
      </c>
      <c r="J69" s="85">
        <f t="shared" si="69"/>
        <v>0</v>
      </c>
      <c r="K69" s="85">
        <f t="shared" si="69"/>
        <v>62744</v>
      </c>
      <c r="L69" s="85">
        <f t="shared" si="69"/>
        <v>46058.39</v>
      </c>
      <c r="M69" s="85">
        <f t="shared" si="69"/>
        <v>60000</v>
      </c>
      <c r="N69" s="85">
        <f t="shared" si="69"/>
        <v>116666.67</v>
      </c>
      <c r="O69" s="85">
        <f>+O70</f>
        <v>113333.33</v>
      </c>
      <c r="P69" s="85">
        <f t="shared" si="69"/>
        <v>113333.33</v>
      </c>
      <c r="Q69" s="85">
        <f t="shared" si="69"/>
        <v>57864.28</v>
      </c>
      <c r="R69" s="85"/>
    </row>
    <row r="70" spans="1:27" ht="24" x14ac:dyDescent="0.2">
      <c r="A70" s="101">
        <v>38</v>
      </c>
      <c r="B70" s="101" t="s">
        <v>951</v>
      </c>
      <c r="C70" s="105" t="s">
        <v>906</v>
      </c>
      <c r="D70" s="104" t="s">
        <v>11</v>
      </c>
      <c r="E70" s="101" t="s">
        <v>960</v>
      </c>
      <c r="F70" s="104" t="s">
        <v>835</v>
      </c>
      <c r="G70" s="102">
        <f t="shared" ref="G70" si="70">+H70+I70</f>
        <v>570000</v>
      </c>
      <c r="H70" s="100">
        <v>427500</v>
      </c>
      <c r="I70" s="102">
        <f t="shared" ref="I70" si="71">ROUNDUP(H70/3,2)</f>
        <v>142500</v>
      </c>
      <c r="J70" s="106"/>
      <c r="K70" s="100">
        <v>62744</v>
      </c>
      <c r="L70" s="100">
        <v>46058.39</v>
      </c>
      <c r="M70" s="100">
        <v>60000</v>
      </c>
      <c r="N70" s="100">
        <v>116666.67</v>
      </c>
      <c r="O70" s="100">
        <v>113333.33</v>
      </c>
      <c r="P70" s="100">
        <v>113333.33</v>
      </c>
      <c r="Q70" s="100">
        <v>57864.28</v>
      </c>
      <c r="R70" s="102"/>
      <c r="X70" s="80"/>
      <c r="Y70" s="80"/>
      <c r="Z70" s="80"/>
      <c r="AA70" s="80"/>
    </row>
    <row r="71" spans="1:27" x14ac:dyDescent="0.2">
      <c r="A71" s="83"/>
      <c r="B71" s="83" t="s">
        <v>924</v>
      </c>
      <c r="C71" s="97" t="s">
        <v>850</v>
      </c>
      <c r="D71" s="83" t="s">
        <v>8</v>
      </c>
      <c r="E71" s="83"/>
      <c r="F71" s="83"/>
      <c r="G71" s="86">
        <f>+G72</f>
        <v>620000</v>
      </c>
      <c r="H71" s="86">
        <f t="shared" ref="H71:Q71" si="72">+H72</f>
        <v>465000</v>
      </c>
      <c r="I71" s="86">
        <f t="shared" si="72"/>
        <v>155000</v>
      </c>
      <c r="J71" s="86">
        <f t="shared" si="72"/>
        <v>0</v>
      </c>
      <c r="K71" s="86">
        <f t="shared" si="72"/>
        <v>0</v>
      </c>
      <c r="L71" s="86">
        <f t="shared" si="72"/>
        <v>151145.26999999999</v>
      </c>
      <c r="M71" s="86">
        <f t="shared" si="72"/>
        <v>134386.81140000001</v>
      </c>
      <c r="N71" s="86">
        <f t="shared" si="72"/>
        <v>53333.33</v>
      </c>
      <c r="O71" s="86">
        <f>+O72</f>
        <v>91840.66</v>
      </c>
      <c r="P71" s="86">
        <f t="shared" si="72"/>
        <v>91840.66</v>
      </c>
      <c r="Q71" s="86">
        <f t="shared" si="72"/>
        <v>97453.27</v>
      </c>
      <c r="R71" s="86"/>
    </row>
    <row r="72" spans="1:27" ht="24" x14ac:dyDescent="0.2">
      <c r="A72" s="104">
        <v>39</v>
      </c>
      <c r="B72" s="104" t="s">
        <v>933</v>
      </c>
      <c r="C72" s="105" t="s">
        <v>925</v>
      </c>
      <c r="D72" s="104" t="s">
        <v>11</v>
      </c>
      <c r="E72" s="98" t="s">
        <v>961</v>
      </c>
      <c r="F72" s="104" t="s">
        <v>835</v>
      </c>
      <c r="G72" s="102">
        <f t="shared" ref="G72" si="73">+H72+I72</f>
        <v>620000</v>
      </c>
      <c r="H72" s="100">
        <v>465000</v>
      </c>
      <c r="I72" s="102">
        <f t="shared" ref="I72" si="74">ROUNDUP(H72/3,2)</f>
        <v>155000</v>
      </c>
      <c r="J72" s="106"/>
      <c r="K72" s="112">
        <v>0</v>
      </c>
      <c r="L72" s="112">
        <v>151145.26999999999</v>
      </c>
      <c r="M72" s="111">
        <v>134386.81140000001</v>
      </c>
      <c r="N72" s="111">
        <v>53333.33</v>
      </c>
      <c r="O72" s="111">
        <v>91840.66</v>
      </c>
      <c r="P72" s="111">
        <v>91840.66</v>
      </c>
      <c r="Q72" s="111">
        <v>97453.27</v>
      </c>
      <c r="R72" s="102"/>
      <c r="X72" s="80">
        <v>203300</v>
      </c>
      <c r="Y72" s="80">
        <f>X72-N72</f>
        <v>149966.66999999998</v>
      </c>
      <c r="Z72" s="80">
        <f>0.75*Y72</f>
        <v>112475.00249999999</v>
      </c>
      <c r="AA72" s="80">
        <f>Y72-Z72</f>
        <v>37491.667499999996</v>
      </c>
    </row>
    <row r="73" spans="1:27" x14ac:dyDescent="0.2">
      <c r="A73" s="83"/>
      <c r="B73" s="83" t="s">
        <v>901</v>
      </c>
      <c r="C73" s="97" t="s">
        <v>972</v>
      </c>
      <c r="D73" s="83" t="s">
        <v>8</v>
      </c>
      <c r="E73" s="83"/>
      <c r="F73" s="83"/>
      <c r="G73" s="86">
        <f t="shared" ref="G73:Q73" si="75">SUM(G74:G74)</f>
        <v>332500</v>
      </c>
      <c r="H73" s="86">
        <f t="shared" si="75"/>
        <v>249375</v>
      </c>
      <c r="I73" s="86">
        <f t="shared" si="75"/>
        <v>83125</v>
      </c>
      <c r="J73" s="86">
        <f t="shared" si="75"/>
        <v>0</v>
      </c>
      <c r="K73" s="86">
        <f t="shared" si="75"/>
        <v>0</v>
      </c>
      <c r="L73" s="86">
        <f t="shared" si="75"/>
        <v>10000</v>
      </c>
      <c r="M73" s="86">
        <f t="shared" si="75"/>
        <v>50000</v>
      </c>
      <c r="N73" s="86">
        <f t="shared" si="75"/>
        <v>50000</v>
      </c>
      <c r="O73" s="86">
        <f>SUM(O74:O74)</f>
        <v>74000</v>
      </c>
      <c r="P73" s="86">
        <f t="shared" si="75"/>
        <v>74000</v>
      </c>
      <c r="Q73" s="86">
        <f t="shared" si="75"/>
        <v>74500</v>
      </c>
      <c r="R73" s="86"/>
    </row>
    <row r="74" spans="1:27" ht="24" x14ac:dyDescent="0.2">
      <c r="A74" s="104">
        <v>40</v>
      </c>
      <c r="B74" s="104" t="s">
        <v>937</v>
      </c>
      <c r="C74" s="105" t="s">
        <v>902</v>
      </c>
      <c r="D74" s="104" t="s">
        <v>11</v>
      </c>
      <c r="E74" s="104" t="s">
        <v>999</v>
      </c>
      <c r="F74" s="104" t="s">
        <v>834</v>
      </c>
      <c r="G74" s="102">
        <f t="shared" ref="G74" si="76">+H74+I74</f>
        <v>332500</v>
      </c>
      <c r="H74" s="100">
        <v>249375</v>
      </c>
      <c r="I74" s="102">
        <f t="shared" ref="I74" si="77">ROUNDUP(H74/3,2)</f>
        <v>83125</v>
      </c>
      <c r="J74" s="106"/>
      <c r="K74" s="100">
        <v>0</v>
      </c>
      <c r="L74" s="100">
        <v>10000</v>
      </c>
      <c r="M74" s="100">
        <v>50000</v>
      </c>
      <c r="N74" s="100">
        <v>50000</v>
      </c>
      <c r="O74" s="100">
        <v>74000</v>
      </c>
      <c r="P74" s="100">
        <v>74000</v>
      </c>
      <c r="Q74" s="100">
        <v>74500</v>
      </c>
      <c r="R74" s="102"/>
      <c r="X74" s="80"/>
      <c r="Y74" s="80"/>
      <c r="Z74" s="80"/>
      <c r="AA74" s="80"/>
    </row>
    <row r="75" spans="1:27" ht="24" x14ac:dyDescent="0.2">
      <c r="A75" s="119"/>
      <c r="B75" s="119" t="s">
        <v>938</v>
      </c>
      <c r="C75" s="120" t="s">
        <v>968</v>
      </c>
      <c r="D75" s="119" t="s">
        <v>840</v>
      </c>
      <c r="E75" s="119"/>
      <c r="F75" s="119"/>
      <c r="G75" s="121">
        <f>+G79+G76+G81</f>
        <v>3841842.2399999998</v>
      </c>
      <c r="H75" s="121">
        <f t="shared" ref="H75:M75" si="78">+H79+H76+H81</f>
        <v>3457658.01</v>
      </c>
      <c r="I75" s="121">
        <f t="shared" si="78"/>
        <v>384184.23</v>
      </c>
      <c r="J75" s="121">
        <f t="shared" si="78"/>
        <v>0</v>
      </c>
      <c r="K75" s="121">
        <f t="shared" si="78"/>
        <v>394505.8</v>
      </c>
      <c r="L75" s="121">
        <f t="shared" si="78"/>
        <v>553052.15</v>
      </c>
      <c r="M75" s="121">
        <f t="shared" si="78"/>
        <v>396788.74</v>
      </c>
      <c r="N75" s="121">
        <f>+N79+N76+N81</f>
        <v>1011440.8899999999</v>
      </c>
      <c r="O75" s="121">
        <f>+O79+O76+O81</f>
        <v>936165.77</v>
      </c>
      <c r="P75" s="121">
        <f t="shared" ref="P75" si="79">+P79+P76+P81</f>
        <v>549888.89</v>
      </c>
      <c r="Q75" s="121">
        <f t="shared" ref="Q75" si="80">+Q79+Q76+Q81</f>
        <v>0</v>
      </c>
      <c r="R75" s="121"/>
      <c r="T75" s="80"/>
    </row>
    <row r="76" spans="1:27" ht="24" x14ac:dyDescent="0.2">
      <c r="A76" s="83"/>
      <c r="B76" s="83" t="s">
        <v>898</v>
      </c>
      <c r="C76" s="97" t="s">
        <v>896</v>
      </c>
      <c r="D76" s="83" t="s">
        <v>8</v>
      </c>
      <c r="E76" s="83"/>
      <c r="F76" s="83"/>
      <c r="G76" s="86">
        <f>SUM(G77:G78)</f>
        <v>555555.56000000006</v>
      </c>
      <c r="H76" s="86">
        <f t="shared" ref="H76:N76" si="81">SUM(H77:H78)</f>
        <v>500000</v>
      </c>
      <c r="I76" s="86">
        <f t="shared" si="81"/>
        <v>55555.560000000005</v>
      </c>
      <c r="J76" s="86">
        <f t="shared" si="81"/>
        <v>0</v>
      </c>
      <c r="K76" s="86">
        <f t="shared" si="81"/>
        <v>0</v>
      </c>
      <c r="L76" s="86">
        <f t="shared" si="81"/>
        <v>0</v>
      </c>
      <c r="M76" s="86">
        <f t="shared" si="81"/>
        <v>50000</v>
      </c>
      <c r="N76" s="86">
        <f t="shared" si="81"/>
        <v>230555.56</v>
      </c>
      <c r="O76" s="86">
        <f>SUM(O77:O78)</f>
        <v>175000</v>
      </c>
      <c r="P76" s="86">
        <f t="shared" ref="P76" si="82">SUM(P77:P78)</f>
        <v>100000</v>
      </c>
      <c r="Q76" s="86">
        <f t="shared" ref="Q76" si="83">SUM(Q77:Q78)</f>
        <v>0</v>
      </c>
      <c r="R76" s="86"/>
    </row>
    <row r="77" spans="1:27" ht="48" x14ac:dyDescent="0.2">
      <c r="A77" s="104">
        <v>41</v>
      </c>
      <c r="B77" s="104" t="s">
        <v>899</v>
      </c>
      <c r="C77" s="105" t="s">
        <v>958</v>
      </c>
      <c r="D77" s="104" t="s">
        <v>11</v>
      </c>
      <c r="E77" s="104" t="s">
        <v>833</v>
      </c>
      <c r="F77" s="104" t="s">
        <v>835</v>
      </c>
      <c r="G77" s="102">
        <f t="shared" ref="G77:G78" si="84">+H77+I77</f>
        <v>555555.56000000006</v>
      </c>
      <c r="H77" s="100">
        <v>500000</v>
      </c>
      <c r="I77" s="102">
        <f t="shared" ref="I77:I78" si="85">ROUNDUP(H77/9,2)</f>
        <v>55555.560000000005</v>
      </c>
      <c r="J77" s="106"/>
      <c r="K77" s="100">
        <v>0</v>
      </c>
      <c r="L77" s="100">
        <v>0</v>
      </c>
      <c r="M77" s="100">
        <v>50000</v>
      </c>
      <c r="N77" s="102">
        <v>230555.56</v>
      </c>
      <c r="O77" s="102">
        <v>175000</v>
      </c>
      <c r="P77" s="102">
        <v>100000</v>
      </c>
      <c r="Q77" s="102">
        <v>0</v>
      </c>
      <c r="R77" s="102"/>
    </row>
    <row r="78" spans="1:27" ht="36" x14ac:dyDescent="0.2">
      <c r="A78" s="104">
        <v>42</v>
      </c>
      <c r="B78" s="104" t="s">
        <v>900</v>
      </c>
      <c r="C78" s="105" t="s">
        <v>897</v>
      </c>
      <c r="D78" s="104" t="s">
        <v>11</v>
      </c>
      <c r="E78" s="101" t="s">
        <v>959</v>
      </c>
      <c r="F78" s="104" t="s">
        <v>835</v>
      </c>
      <c r="G78" s="102">
        <f t="shared" si="84"/>
        <v>0</v>
      </c>
      <c r="H78" s="100">
        <v>0</v>
      </c>
      <c r="I78" s="102">
        <f t="shared" si="85"/>
        <v>0</v>
      </c>
      <c r="J78" s="106"/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2">
        <v>0</v>
      </c>
      <c r="Q78" s="102">
        <v>0</v>
      </c>
      <c r="R78" s="102"/>
      <c r="S78" s="80"/>
      <c r="X78" s="80"/>
      <c r="Y78" s="80"/>
      <c r="Z78" s="80"/>
      <c r="AA78" s="80"/>
    </row>
    <row r="79" spans="1:27" ht="24" x14ac:dyDescent="0.2">
      <c r="A79" s="83"/>
      <c r="B79" s="83" t="s">
        <v>939</v>
      </c>
      <c r="C79" s="97" t="s">
        <v>926</v>
      </c>
      <c r="D79" s="83" t="s">
        <v>8</v>
      </c>
      <c r="E79" s="83"/>
      <c r="F79" s="83"/>
      <c r="G79" s="86">
        <f>+G80</f>
        <v>250000</v>
      </c>
      <c r="H79" s="86">
        <f t="shared" ref="H79:Q79" si="86">+H80</f>
        <v>225000</v>
      </c>
      <c r="I79" s="86">
        <f t="shared" si="86"/>
        <v>25000</v>
      </c>
      <c r="J79" s="86">
        <f t="shared" si="86"/>
        <v>0</v>
      </c>
      <c r="K79" s="86">
        <f t="shared" si="86"/>
        <v>0</v>
      </c>
      <c r="L79" s="86">
        <f t="shared" si="86"/>
        <v>38231.69</v>
      </c>
      <c r="M79" s="86">
        <f t="shared" si="86"/>
        <v>46399.839999999997</v>
      </c>
      <c r="N79" s="86">
        <f t="shared" si="86"/>
        <v>47552</v>
      </c>
      <c r="O79" s="86">
        <f>+O80</f>
        <v>117816.47</v>
      </c>
      <c r="P79" s="86">
        <f t="shared" si="86"/>
        <v>0</v>
      </c>
      <c r="Q79" s="86">
        <f t="shared" si="86"/>
        <v>0</v>
      </c>
      <c r="R79" s="86"/>
    </row>
    <row r="80" spans="1:27" ht="24" x14ac:dyDescent="0.2">
      <c r="A80" s="104">
        <v>43</v>
      </c>
      <c r="B80" s="104" t="s">
        <v>940</v>
      </c>
      <c r="C80" s="134" t="s">
        <v>927</v>
      </c>
      <c r="D80" s="104" t="s">
        <v>11</v>
      </c>
      <c r="E80" s="104" t="s">
        <v>920</v>
      </c>
      <c r="F80" s="104" t="s">
        <v>835</v>
      </c>
      <c r="G80" s="102">
        <f t="shared" ref="G80" si="87">+H80+I80</f>
        <v>250000</v>
      </c>
      <c r="H80" s="102">
        <v>225000</v>
      </c>
      <c r="I80" s="102">
        <f>ROUNDUP(H80/9,2)</f>
        <v>25000</v>
      </c>
      <c r="J80" s="106"/>
      <c r="K80" s="130">
        <v>0</v>
      </c>
      <c r="L80" s="106">
        <v>38231.69</v>
      </c>
      <c r="M80" s="130">
        <v>46399.839999999997</v>
      </c>
      <c r="N80" s="130">
        <v>47552</v>
      </c>
      <c r="O80" s="106">
        <v>117816.47</v>
      </c>
      <c r="P80" s="106">
        <v>0</v>
      </c>
      <c r="Q80" s="106">
        <v>0</v>
      </c>
      <c r="R80" s="100"/>
      <c r="S80" s="80"/>
    </row>
    <row r="81" spans="1:27" ht="24" x14ac:dyDescent="0.2">
      <c r="A81" s="83"/>
      <c r="B81" s="83" t="s">
        <v>941</v>
      </c>
      <c r="C81" s="97" t="s">
        <v>889</v>
      </c>
      <c r="D81" s="83" t="s">
        <v>8</v>
      </c>
      <c r="E81" s="83"/>
      <c r="F81" s="83"/>
      <c r="G81" s="86">
        <f t="shared" ref="G81:Q81" si="88">+G82</f>
        <v>3036286.6799999997</v>
      </c>
      <c r="H81" s="86">
        <f t="shared" si="88"/>
        <v>2732658.01</v>
      </c>
      <c r="I81" s="86">
        <f t="shared" si="88"/>
        <v>303628.67</v>
      </c>
      <c r="J81" s="86">
        <f t="shared" si="88"/>
        <v>0</v>
      </c>
      <c r="K81" s="86">
        <f t="shared" si="88"/>
        <v>394505.8</v>
      </c>
      <c r="L81" s="86">
        <f t="shared" si="88"/>
        <v>514820.46</v>
      </c>
      <c r="M81" s="86">
        <f t="shared" si="88"/>
        <v>300388.90000000002</v>
      </c>
      <c r="N81" s="86">
        <f t="shared" si="88"/>
        <v>733333.33</v>
      </c>
      <c r="O81" s="86">
        <f>+O82</f>
        <v>643349.30000000005</v>
      </c>
      <c r="P81" s="86">
        <f t="shared" si="88"/>
        <v>449888.89</v>
      </c>
      <c r="Q81" s="86">
        <f t="shared" si="88"/>
        <v>0</v>
      </c>
      <c r="R81" s="86"/>
    </row>
    <row r="82" spans="1:27" ht="24" x14ac:dyDescent="0.2">
      <c r="A82" s="104">
        <v>44</v>
      </c>
      <c r="B82" s="104" t="s">
        <v>942</v>
      </c>
      <c r="C82" s="105" t="s">
        <v>892</v>
      </c>
      <c r="D82" s="104"/>
      <c r="E82" s="101" t="s">
        <v>959</v>
      </c>
      <c r="F82" s="104" t="s">
        <v>835</v>
      </c>
      <c r="G82" s="102">
        <f t="shared" ref="G82" si="89">+H82+I82</f>
        <v>3036286.6799999997</v>
      </c>
      <c r="H82" s="102">
        <f>1932658.01+800000</f>
        <v>2732658.01</v>
      </c>
      <c r="I82" s="102">
        <f>ROUNDUP(H82/9,2)</f>
        <v>303628.67</v>
      </c>
      <c r="J82" s="106"/>
      <c r="K82" s="106">
        <v>394505.8</v>
      </c>
      <c r="L82" s="106">
        <v>514820.46</v>
      </c>
      <c r="M82" s="130">
        <v>300388.90000000002</v>
      </c>
      <c r="N82" s="102">
        <v>733333.33</v>
      </c>
      <c r="O82" s="102">
        <v>643349.30000000005</v>
      </c>
      <c r="P82" s="102">
        <v>449888.89</v>
      </c>
      <c r="Q82" s="102">
        <v>0</v>
      </c>
      <c r="R82" s="102"/>
      <c r="T82" s="130"/>
      <c r="V82" s="80"/>
      <c r="W82" s="80">
        <v>800000</v>
      </c>
      <c r="X82" s="80"/>
      <c r="Y82" s="80"/>
      <c r="Z82" s="80"/>
      <c r="AA82" s="80"/>
    </row>
    <row r="83" spans="1:27" ht="24" x14ac:dyDescent="0.2">
      <c r="A83" s="91"/>
      <c r="B83" s="92" t="s">
        <v>943</v>
      </c>
      <c r="C83" s="96" t="s">
        <v>974</v>
      </c>
      <c r="D83" s="92" t="s">
        <v>2</v>
      </c>
      <c r="E83" s="92"/>
      <c r="F83" s="92"/>
      <c r="G83" s="90">
        <v>2141298.35</v>
      </c>
      <c r="H83" s="90">
        <f>+G83</f>
        <v>2141298.35</v>
      </c>
      <c r="I83" s="90">
        <f t="shared" ref="H83:Q85" si="90">+I84</f>
        <v>0</v>
      </c>
      <c r="J83" s="90">
        <f t="shared" si="90"/>
        <v>0</v>
      </c>
      <c r="K83" s="90">
        <v>100000</v>
      </c>
      <c r="L83" s="90">
        <v>600000</v>
      </c>
      <c r="M83" s="90">
        <v>803673.98</v>
      </c>
      <c r="N83" s="90">
        <f>+H83-K83-L83-M83</f>
        <v>637624.37000000011</v>
      </c>
      <c r="O83" s="90">
        <v>0</v>
      </c>
      <c r="P83" s="90">
        <v>0</v>
      </c>
      <c r="Q83" s="90">
        <v>0</v>
      </c>
      <c r="R83" s="90"/>
      <c r="V83" s="80"/>
    </row>
    <row r="84" spans="1:27" ht="24" x14ac:dyDescent="0.2">
      <c r="A84" s="119"/>
      <c r="B84" s="119" t="s">
        <v>953</v>
      </c>
      <c r="C84" s="120" t="s">
        <v>967</v>
      </c>
      <c r="D84" s="119" t="s">
        <v>840</v>
      </c>
      <c r="E84" s="119"/>
      <c r="F84" s="119"/>
      <c r="G84" s="121">
        <f>+G85</f>
        <v>700000</v>
      </c>
      <c r="H84" s="121">
        <f t="shared" si="90"/>
        <v>700000</v>
      </c>
      <c r="I84" s="121">
        <f t="shared" si="90"/>
        <v>0</v>
      </c>
      <c r="J84" s="121">
        <f t="shared" si="90"/>
        <v>0</v>
      </c>
      <c r="K84" s="121">
        <f t="shared" si="90"/>
        <v>100000</v>
      </c>
      <c r="L84" s="121">
        <f t="shared" si="90"/>
        <v>600000</v>
      </c>
      <c r="M84" s="121">
        <f t="shared" si="90"/>
        <v>0</v>
      </c>
      <c r="N84" s="121">
        <f t="shared" si="90"/>
        <v>0</v>
      </c>
      <c r="O84" s="121">
        <f>+O85</f>
        <v>0</v>
      </c>
      <c r="P84" s="121">
        <f t="shared" si="90"/>
        <v>0</v>
      </c>
      <c r="Q84" s="121">
        <f t="shared" si="90"/>
        <v>0</v>
      </c>
      <c r="R84" s="121"/>
    </row>
    <row r="85" spans="1:27" x14ac:dyDescent="0.2">
      <c r="A85" s="81"/>
      <c r="B85" s="81" t="s">
        <v>954</v>
      </c>
      <c r="C85" s="94" t="s">
        <v>841</v>
      </c>
      <c r="D85" s="81" t="s">
        <v>8</v>
      </c>
      <c r="E85" s="81"/>
      <c r="F85" s="81"/>
      <c r="G85" s="85">
        <f>+G86</f>
        <v>700000</v>
      </c>
      <c r="H85" s="85">
        <f t="shared" si="90"/>
        <v>700000</v>
      </c>
      <c r="I85" s="85">
        <f t="shared" si="90"/>
        <v>0</v>
      </c>
      <c r="J85" s="85">
        <f t="shared" si="90"/>
        <v>0</v>
      </c>
      <c r="K85" s="85">
        <f t="shared" si="90"/>
        <v>100000</v>
      </c>
      <c r="L85" s="85">
        <f t="shared" si="90"/>
        <v>600000</v>
      </c>
      <c r="M85" s="85">
        <f t="shared" si="90"/>
        <v>0</v>
      </c>
      <c r="N85" s="85">
        <f t="shared" si="90"/>
        <v>0</v>
      </c>
      <c r="O85" s="85">
        <f>+O86</f>
        <v>0</v>
      </c>
      <c r="P85" s="85">
        <f t="shared" si="90"/>
        <v>0</v>
      </c>
      <c r="Q85" s="85">
        <f t="shared" si="90"/>
        <v>0</v>
      </c>
      <c r="R85" s="85"/>
    </row>
    <row r="86" spans="1:27" x14ac:dyDescent="0.2">
      <c r="A86" s="104">
        <v>45</v>
      </c>
      <c r="B86" s="104" t="s">
        <v>966</v>
      </c>
      <c r="C86" s="105" t="s">
        <v>965</v>
      </c>
      <c r="D86" s="104"/>
      <c r="E86" s="101" t="s">
        <v>903</v>
      </c>
      <c r="F86" s="104" t="s">
        <v>835</v>
      </c>
      <c r="G86" s="102">
        <v>700000</v>
      </c>
      <c r="H86" s="102">
        <v>700000</v>
      </c>
      <c r="I86" s="102">
        <v>0</v>
      </c>
      <c r="J86" s="106"/>
      <c r="K86" s="106">
        <v>100000</v>
      </c>
      <c r="L86" s="113">
        <v>600000</v>
      </c>
      <c r="M86" s="106">
        <v>0</v>
      </c>
      <c r="N86" s="102">
        <v>0</v>
      </c>
      <c r="O86" s="102">
        <v>0</v>
      </c>
      <c r="P86" s="102">
        <v>0</v>
      </c>
      <c r="Q86" s="102">
        <v>0</v>
      </c>
      <c r="R86" s="102"/>
    </row>
    <row r="87" spans="1:27" ht="15" x14ac:dyDescent="0.25">
      <c r="G87" s="144"/>
      <c r="H87" s="144"/>
      <c r="I87" s="144"/>
      <c r="K87" s="144"/>
      <c r="L87" s="144"/>
      <c r="M87" s="144"/>
      <c r="N87" s="144"/>
      <c r="O87" s="144"/>
      <c r="P87" s="144"/>
      <c r="Q87" s="144"/>
      <c r="X87" s="80"/>
      <c r="Y87" s="80"/>
      <c r="Z87" s="80"/>
      <c r="AA87" s="80"/>
    </row>
    <row r="88" spans="1:27" hidden="1" x14ac:dyDescent="0.2">
      <c r="N88" s="80">
        <v>10887118.74</v>
      </c>
      <c r="O88" s="80">
        <v>9348296.6600000001</v>
      </c>
      <c r="X88" s="80">
        <v>241071.59639999998</v>
      </c>
      <c r="Y88">
        <v>0</v>
      </c>
      <c r="Z88" s="80">
        <v>0</v>
      </c>
      <c r="AA88" s="80">
        <v>0</v>
      </c>
    </row>
    <row r="89" spans="1:27" hidden="1" x14ac:dyDescent="0.2">
      <c r="T89" s="80"/>
    </row>
    <row r="90" spans="1:27" hidden="1" x14ac:dyDescent="0.2">
      <c r="Y90" s="80">
        <f>SUBTOTAL(9,Y8:Y88)</f>
        <v>1250319.19</v>
      </c>
      <c r="Z90" s="80">
        <f>SUBTOTAL(9,Z8:Z88)</f>
        <v>939431.07600000012</v>
      </c>
      <c r="AA90" s="80">
        <f>SUBTOTAL(9,AA8:AA88)</f>
        <v>310888.114</v>
      </c>
    </row>
    <row r="91" spans="1:27" hidden="1" x14ac:dyDescent="0.2">
      <c r="W91" s="80">
        <v>5257692</v>
      </c>
    </row>
    <row r="92" spans="1:27" hidden="1" x14ac:dyDescent="0.2">
      <c r="M92" t="s">
        <v>1005</v>
      </c>
      <c r="N92" s="80">
        <v>241071.59639999998</v>
      </c>
    </row>
    <row r="93" spans="1:27" hidden="1" x14ac:dyDescent="0.2"/>
    <row r="94" spans="1:27" x14ac:dyDescent="0.2">
      <c r="W94" s="80">
        <v>5573154</v>
      </c>
    </row>
    <row r="97" spans="23:23" x14ac:dyDescent="0.2">
      <c r="W97" s="80">
        <f>+W94/1.06</f>
        <v>5257692.452830188</v>
      </c>
    </row>
  </sheetData>
  <autoFilter ref="A3:R86" xr:uid="{00000000-0009-0000-0000-000004000000}"/>
  <pageMargins left="0.25" right="0.25" top="0.75" bottom="0.75" header="0.3" footer="0.3"/>
  <pageSetup paperSize="9" scale="54" fitToHeight="0" orientation="landscape" r:id="rId1"/>
  <headerFooter>
    <oddFooter>&amp;C&amp;P od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</vt:i4>
      </vt:variant>
    </vt:vector>
  </HeadingPairs>
  <TitlesOfParts>
    <vt:vector size="6" baseType="lpstr">
      <vt:lpstr>AMIF MNZ</vt:lpstr>
      <vt:lpstr>ISF MEJE</vt:lpstr>
      <vt:lpstr>ISFP</vt:lpstr>
      <vt:lpstr>List1</vt:lpstr>
      <vt:lpstr>AN</vt:lpstr>
      <vt:lpstr>AN!Tiskanje_naslovov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Erik Kern</cp:lastModifiedBy>
  <cp:lastPrinted>2026-01-21T14:01:50Z</cp:lastPrinted>
  <dcterms:created xsi:type="dcterms:W3CDTF">2017-02-15T08:56:09Z</dcterms:created>
  <dcterms:modified xsi:type="dcterms:W3CDTF">2026-01-26T10:44:02Z</dcterms:modified>
</cp:coreProperties>
</file>