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6\28_objava ES_AN IUMV 6_2_20260520\"/>
    </mc:Choice>
  </mc:AlternateContent>
  <xr:revisionPtr revIDLastSave="0" documentId="8_{A933293B-07D8-43D9-B4C4-6D417692200F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AN" sheetId="9" r:id="rId1"/>
  </sheets>
  <definedNames>
    <definedName name="_xlnm._FilterDatabase" localSheetId="0" hidden="1">AN!$A$3:$V$103</definedName>
    <definedName name="_xlnm.Print_Area" localSheetId="0">AN!$A$1:$V$103</definedName>
    <definedName name="_xlnm.Print_Titles" localSheetId="0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6" i="9" l="1"/>
  <c r="K89" i="9"/>
  <c r="M39" i="9"/>
  <c r="N39" i="9"/>
  <c r="O39" i="9"/>
  <c r="P39" i="9"/>
  <c r="Q39" i="9"/>
  <c r="R39" i="9"/>
  <c r="S39" i="9"/>
  <c r="T39" i="9"/>
  <c r="M37" i="9"/>
  <c r="N37" i="9"/>
  <c r="O37" i="9"/>
  <c r="P37" i="9"/>
  <c r="Q37" i="9"/>
  <c r="R37" i="9"/>
  <c r="S37" i="9"/>
  <c r="T37" i="9"/>
  <c r="M34" i="9"/>
  <c r="N34" i="9"/>
  <c r="O34" i="9"/>
  <c r="P34" i="9"/>
  <c r="Q34" i="9"/>
  <c r="R34" i="9"/>
  <c r="S34" i="9"/>
  <c r="T34" i="9"/>
  <c r="M31" i="9"/>
  <c r="N31" i="9"/>
  <c r="O31" i="9"/>
  <c r="P31" i="9"/>
  <c r="Q31" i="9"/>
  <c r="R31" i="9"/>
  <c r="S31" i="9"/>
  <c r="T31" i="9"/>
  <c r="M17" i="9"/>
  <c r="N17" i="9"/>
  <c r="O17" i="9"/>
  <c r="P17" i="9"/>
  <c r="Q17" i="9"/>
  <c r="R17" i="9"/>
  <c r="S17" i="9"/>
  <c r="T17" i="9"/>
  <c r="AA40" i="9" l="1"/>
  <c r="W40" i="9" s="1"/>
  <c r="Y40" i="9" s="1"/>
  <c r="Z40" i="9"/>
  <c r="Y68" i="9"/>
  <c r="Y67" i="9"/>
  <c r="Y46" i="9"/>
  <c r="Y48" i="9"/>
  <c r="Y32" i="9"/>
  <c r="Z32" i="9" s="1"/>
  <c r="AA32" i="9" s="1"/>
  <c r="Y30" i="9"/>
  <c r="Y23" i="9"/>
  <c r="Z30" i="9" l="1"/>
  <c r="Z48" i="9"/>
  <c r="AA48" i="9" s="1"/>
  <c r="S79" i="9"/>
  <c r="Q79" i="9"/>
  <c r="Z102" i="9" l="1"/>
  <c r="AA30" i="9"/>
  <c r="AA102" i="9" s="1"/>
  <c r="J101" i="9"/>
  <c r="K101" i="9" s="1"/>
  <c r="J99" i="9"/>
  <c r="J98" i="9" s="1"/>
  <c r="J97" i="9" s="1"/>
  <c r="U98" i="9"/>
  <c r="U97" i="9" s="1"/>
  <c r="T98" i="9"/>
  <c r="T97" i="9" s="1"/>
  <c r="S98" i="9"/>
  <c r="S97" i="9" s="1"/>
  <c r="Q98" i="9"/>
  <c r="Q97" i="9" s="1"/>
  <c r="P98" i="9"/>
  <c r="P97" i="9" s="1"/>
  <c r="O98" i="9"/>
  <c r="O97" i="9" s="1"/>
  <c r="O96" i="9" s="1"/>
  <c r="N98" i="9"/>
  <c r="N97" i="9" s="1"/>
  <c r="N96" i="9" s="1"/>
  <c r="M98" i="9"/>
  <c r="M97" i="9" s="1"/>
  <c r="M96" i="9" s="1"/>
  <c r="L98" i="9"/>
  <c r="L97" i="9" s="1"/>
  <c r="L96" i="9" s="1"/>
  <c r="H98" i="9"/>
  <c r="H97" i="9" s="1"/>
  <c r="J96" i="9"/>
  <c r="J95" i="9"/>
  <c r="I95" i="9"/>
  <c r="T94" i="9"/>
  <c r="T93" i="9" s="1"/>
  <c r="S94" i="9"/>
  <c r="S93" i="9" s="1"/>
  <c r="R94" i="9"/>
  <c r="R93" i="9" s="1"/>
  <c r="Q94" i="9"/>
  <c r="Q93" i="9" s="1"/>
  <c r="P94" i="9"/>
  <c r="P93" i="9" s="1"/>
  <c r="O94" i="9"/>
  <c r="O93" i="9" s="1"/>
  <c r="N94" i="9"/>
  <c r="N93" i="9" s="1"/>
  <c r="M94" i="9"/>
  <c r="M93" i="9" s="1"/>
  <c r="L94" i="9"/>
  <c r="L93" i="9" s="1"/>
  <c r="K94" i="9"/>
  <c r="H94" i="9"/>
  <c r="H93" i="9" s="1"/>
  <c r="Q92" i="9"/>
  <c r="L92" i="9"/>
  <c r="I92" i="9"/>
  <c r="L91" i="9"/>
  <c r="J91" i="9" s="1"/>
  <c r="Q91" i="9" s="1"/>
  <c r="I91" i="9"/>
  <c r="Q90" i="9"/>
  <c r="L90" i="9"/>
  <c r="J90" i="9" s="1"/>
  <c r="I90" i="9"/>
  <c r="L89" i="9"/>
  <c r="J89" i="9" s="1"/>
  <c r="U89" i="9" s="1"/>
  <c r="I89" i="9"/>
  <c r="L88" i="9"/>
  <c r="J88" i="9" s="1"/>
  <c r="U88" i="9" s="1"/>
  <c r="I88" i="9"/>
  <c r="T87" i="9"/>
  <c r="S87" i="9"/>
  <c r="R87" i="9"/>
  <c r="P87" i="9"/>
  <c r="O87" i="9"/>
  <c r="N87" i="9"/>
  <c r="M87" i="9"/>
  <c r="K87" i="9"/>
  <c r="H87" i="9"/>
  <c r="K85" i="9"/>
  <c r="T85" i="9"/>
  <c r="S85" i="9"/>
  <c r="R85" i="9"/>
  <c r="Q85" i="9"/>
  <c r="P85" i="9"/>
  <c r="O85" i="9"/>
  <c r="N85" i="9"/>
  <c r="M85" i="9"/>
  <c r="H85" i="9"/>
  <c r="L84" i="9"/>
  <c r="J84" i="9" s="1"/>
  <c r="I84" i="9"/>
  <c r="T83" i="9"/>
  <c r="S83" i="9"/>
  <c r="R83" i="9"/>
  <c r="Q83" i="9"/>
  <c r="P83" i="9"/>
  <c r="O83" i="9"/>
  <c r="N83" i="9"/>
  <c r="M83" i="9"/>
  <c r="K83" i="9"/>
  <c r="H83" i="9"/>
  <c r="Q82" i="9"/>
  <c r="Q81" i="9" s="1"/>
  <c r="L82" i="9"/>
  <c r="L81" i="9" s="1"/>
  <c r="I82" i="9"/>
  <c r="T81" i="9"/>
  <c r="S81" i="9"/>
  <c r="R81" i="9"/>
  <c r="P81" i="9"/>
  <c r="O81" i="9"/>
  <c r="N81" i="9"/>
  <c r="M81" i="9"/>
  <c r="K81" i="9"/>
  <c r="H81" i="9"/>
  <c r="L80" i="9"/>
  <c r="J80" i="9" s="1"/>
  <c r="U80" i="9" s="1"/>
  <c r="I80" i="9"/>
  <c r="K79" i="9"/>
  <c r="K77" i="9" s="1"/>
  <c r="I79" i="9"/>
  <c r="L78" i="9"/>
  <c r="J78" i="9" s="1"/>
  <c r="I78" i="9"/>
  <c r="T77" i="9"/>
  <c r="S77" i="9"/>
  <c r="R77" i="9"/>
  <c r="Q77" i="9"/>
  <c r="P77" i="9"/>
  <c r="O77" i="9"/>
  <c r="N77" i="9"/>
  <c r="M77" i="9"/>
  <c r="H77" i="9"/>
  <c r="J74" i="9"/>
  <c r="U74" i="9" s="1"/>
  <c r="I74" i="9"/>
  <c r="J73" i="9"/>
  <c r="U73" i="9" s="1"/>
  <c r="I73" i="9"/>
  <c r="T72" i="9"/>
  <c r="T71" i="9" s="1"/>
  <c r="S72" i="9"/>
  <c r="S71" i="9" s="1"/>
  <c r="R72" i="9"/>
  <c r="R71" i="9" s="1"/>
  <c r="Q72" i="9"/>
  <c r="Q71" i="9" s="1"/>
  <c r="P72" i="9"/>
  <c r="P71" i="9" s="1"/>
  <c r="O72" i="9"/>
  <c r="O71" i="9" s="1"/>
  <c r="N72" i="9"/>
  <c r="N71" i="9" s="1"/>
  <c r="M72" i="9"/>
  <c r="M71" i="9" s="1"/>
  <c r="L72" i="9"/>
  <c r="L71" i="9" s="1"/>
  <c r="K72" i="9"/>
  <c r="K71" i="9" s="1"/>
  <c r="H72" i="9"/>
  <c r="I72" i="9" s="1"/>
  <c r="J70" i="9"/>
  <c r="U70" i="9" s="1"/>
  <c r="U69" i="9" s="1"/>
  <c r="I70" i="9"/>
  <c r="T69" i="9"/>
  <c r="S69" i="9"/>
  <c r="R69" i="9"/>
  <c r="Q69" i="9"/>
  <c r="P69" i="9"/>
  <c r="O69" i="9"/>
  <c r="N69" i="9"/>
  <c r="M69" i="9"/>
  <c r="L69" i="9"/>
  <c r="K69" i="9"/>
  <c r="H69" i="9"/>
  <c r="U68" i="9"/>
  <c r="I68" i="9"/>
  <c r="U67" i="9"/>
  <c r="I67" i="9"/>
  <c r="J66" i="9"/>
  <c r="U66" i="9" s="1"/>
  <c r="U65" i="9"/>
  <c r="J64" i="9"/>
  <c r="U64" i="9" s="1"/>
  <c r="I64" i="9"/>
  <c r="J63" i="9"/>
  <c r="U63" i="9" s="1"/>
  <c r="I63" i="9"/>
  <c r="J62" i="9"/>
  <c r="I62" i="9"/>
  <c r="J61" i="9"/>
  <c r="U61" i="9" s="1"/>
  <c r="I61" i="9"/>
  <c r="J60" i="9"/>
  <c r="U60" i="9" s="1"/>
  <c r="I60" i="9"/>
  <c r="T59" i="9"/>
  <c r="S59" i="9"/>
  <c r="R59" i="9"/>
  <c r="Q59" i="9"/>
  <c r="P59" i="9"/>
  <c r="O59" i="9"/>
  <c r="N59" i="9"/>
  <c r="M59" i="9"/>
  <c r="L59" i="9"/>
  <c r="K59" i="9"/>
  <c r="K58" i="9" s="1"/>
  <c r="H59" i="9"/>
  <c r="L57" i="9"/>
  <c r="I57" i="9"/>
  <c r="K56" i="9"/>
  <c r="K55" i="9" s="1"/>
  <c r="I56" i="9"/>
  <c r="T55" i="9"/>
  <c r="S55" i="9"/>
  <c r="R55" i="9"/>
  <c r="Q55" i="9"/>
  <c r="P55" i="9"/>
  <c r="O55" i="9"/>
  <c r="N55" i="9"/>
  <c r="M55" i="9"/>
  <c r="H55" i="9"/>
  <c r="L54" i="9"/>
  <c r="J54" i="9" s="1"/>
  <c r="U54" i="9" s="1"/>
  <c r="I54" i="9"/>
  <c r="O53" i="9"/>
  <c r="L53" i="9"/>
  <c r="J53" i="9" s="1"/>
  <c r="I53" i="9"/>
  <c r="T52" i="9"/>
  <c r="S52" i="9"/>
  <c r="R52" i="9"/>
  <c r="Q52" i="9"/>
  <c r="P52" i="9"/>
  <c r="O52" i="9"/>
  <c r="N52" i="9"/>
  <c r="M52" i="9"/>
  <c r="K52" i="9"/>
  <c r="H52" i="9"/>
  <c r="L51" i="9"/>
  <c r="L50" i="9" s="1"/>
  <c r="I51" i="9"/>
  <c r="T50" i="9"/>
  <c r="S50" i="9"/>
  <c r="R50" i="9"/>
  <c r="Q50" i="9"/>
  <c r="P50" i="9"/>
  <c r="O50" i="9"/>
  <c r="N50" i="9"/>
  <c r="M50" i="9"/>
  <c r="K50" i="9"/>
  <c r="H50" i="9"/>
  <c r="L48" i="9"/>
  <c r="J48" i="9" s="1"/>
  <c r="I48" i="9"/>
  <c r="S47" i="9"/>
  <c r="R47" i="9"/>
  <c r="Q47" i="9"/>
  <c r="P47" i="9"/>
  <c r="O47" i="9"/>
  <c r="N47" i="9"/>
  <c r="M47" i="9"/>
  <c r="K47" i="9"/>
  <c r="H47" i="9"/>
  <c r="L46" i="9"/>
  <c r="L45" i="9" s="1"/>
  <c r="I46" i="9"/>
  <c r="T45" i="9"/>
  <c r="S45" i="9"/>
  <c r="R45" i="9"/>
  <c r="Q45" i="9"/>
  <c r="P45" i="9"/>
  <c r="O45" i="9"/>
  <c r="N45" i="9"/>
  <c r="M45" i="9"/>
  <c r="K45" i="9"/>
  <c r="H45" i="9"/>
  <c r="L43" i="9"/>
  <c r="J43" i="9" s="1"/>
  <c r="I43" i="9"/>
  <c r="T42" i="9"/>
  <c r="S42" i="9"/>
  <c r="R42" i="9"/>
  <c r="Q42" i="9"/>
  <c r="P42" i="9"/>
  <c r="O42" i="9"/>
  <c r="N42" i="9"/>
  <c r="M42" i="9"/>
  <c r="K42" i="9"/>
  <c r="H42" i="9"/>
  <c r="L41" i="9"/>
  <c r="J41" i="9" s="1"/>
  <c r="U41" i="9" s="1"/>
  <c r="U39" i="9" s="1"/>
  <c r="I41" i="9"/>
  <c r="L40" i="9"/>
  <c r="I40" i="9"/>
  <c r="K39" i="9"/>
  <c r="H39" i="9"/>
  <c r="L38" i="9"/>
  <c r="I38" i="9"/>
  <c r="K37" i="9"/>
  <c r="H37" i="9"/>
  <c r="L36" i="9"/>
  <c r="J36" i="9" s="1"/>
  <c r="U36" i="9" s="1"/>
  <c r="I36" i="9"/>
  <c r="L35" i="9"/>
  <c r="I35" i="9"/>
  <c r="K34" i="9"/>
  <c r="H34" i="9"/>
  <c r="I34" i="9" s="1"/>
  <c r="L33" i="9"/>
  <c r="J33" i="9" s="1"/>
  <c r="U33" i="9" s="1"/>
  <c r="L32" i="9"/>
  <c r="I32" i="9"/>
  <c r="K31" i="9"/>
  <c r="H31" i="9"/>
  <c r="L30" i="9"/>
  <c r="J30" i="9" s="1"/>
  <c r="U30" i="9" s="1"/>
  <c r="I30" i="9"/>
  <c r="L29" i="9"/>
  <c r="J29" i="9" s="1"/>
  <c r="U29" i="9" s="1"/>
  <c r="I29" i="9"/>
  <c r="L28" i="9"/>
  <c r="J28" i="9" s="1"/>
  <c r="I28" i="9"/>
  <c r="L27" i="9"/>
  <c r="J27" i="9" s="1"/>
  <c r="U27" i="9" s="1"/>
  <c r="I27" i="9"/>
  <c r="T26" i="9"/>
  <c r="S26" i="9"/>
  <c r="R26" i="9"/>
  <c r="Q26" i="9"/>
  <c r="P26" i="9"/>
  <c r="O26" i="9"/>
  <c r="N26" i="9"/>
  <c r="M26" i="9"/>
  <c r="K26" i="9"/>
  <c r="H26" i="9"/>
  <c r="L25" i="9"/>
  <c r="J25" i="9" s="1"/>
  <c r="U25" i="9" s="1"/>
  <c r="U24" i="9" s="1"/>
  <c r="I25" i="9"/>
  <c r="T24" i="9"/>
  <c r="S24" i="9"/>
  <c r="R24" i="9"/>
  <c r="Q24" i="9"/>
  <c r="P24" i="9"/>
  <c r="O24" i="9"/>
  <c r="N24" i="9"/>
  <c r="M24" i="9"/>
  <c r="K24" i="9"/>
  <c r="H24" i="9"/>
  <c r="K23" i="9"/>
  <c r="L23" i="9" s="1"/>
  <c r="J23" i="9" s="1"/>
  <c r="U23" i="9" s="1"/>
  <c r="I23" i="9"/>
  <c r="L22" i="9"/>
  <c r="J22" i="9" s="1"/>
  <c r="U22" i="9" s="1"/>
  <c r="L21" i="9"/>
  <c r="J21" i="9" s="1"/>
  <c r="U21" i="9" s="1"/>
  <c r="I21" i="9"/>
  <c r="L20" i="9"/>
  <c r="J20" i="9" s="1"/>
  <c r="U20" i="9" s="1"/>
  <c r="I20" i="9"/>
  <c r="L19" i="9"/>
  <c r="J19" i="9" s="1"/>
  <c r="I19" i="9"/>
  <c r="L18" i="9"/>
  <c r="I18" i="9"/>
  <c r="K17" i="9"/>
  <c r="H17" i="9"/>
  <c r="L16" i="9"/>
  <c r="J16" i="9" s="1"/>
  <c r="U16" i="9" s="1"/>
  <c r="I16" i="9"/>
  <c r="K15" i="9"/>
  <c r="L15" i="9" s="1"/>
  <c r="J15" i="9" s="1"/>
  <c r="I15" i="9"/>
  <c r="T14" i="9"/>
  <c r="S14" i="9"/>
  <c r="R14" i="9"/>
  <c r="Q14" i="9"/>
  <c r="P14" i="9"/>
  <c r="O14" i="9"/>
  <c r="N14" i="9"/>
  <c r="M14" i="9"/>
  <c r="H14" i="9"/>
  <c r="L13" i="9"/>
  <c r="J13" i="9" s="1"/>
  <c r="U13" i="9" s="1"/>
  <c r="I13" i="9"/>
  <c r="L12" i="9"/>
  <c r="J12" i="9" s="1"/>
  <c r="I12" i="9"/>
  <c r="T11" i="9"/>
  <c r="S11" i="9"/>
  <c r="R11" i="9"/>
  <c r="Q11" i="9"/>
  <c r="P11" i="9"/>
  <c r="O11" i="9"/>
  <c r="N11" i="9"/>
  <c r="M11" i="9"/>
  <c r="K11" i="9"/>
  <c r="H11" i="9"/>
  <c r="L10" i="9"/>
  <c r="J10" i="9" s="1"/>
  <c r="U10" i="9" s="1"/>
  <c r="I10" i="9"/>
  <c r="L9" i="9"/>
  <c r="J9" i="9" s="1"/>
  <c r="U9" i="9" s="1"/>
  <c r="I9" i="9"/>
  <c r="L8" i="9"/>
  <c r="I8" i="9"/>
  <c r="T7" i="9"/>
  <c r="S7" i="9"/>
  <c r="R7" i="9"/>
  <c r="Q7" i="9"/>
  <c r="P7" i="9"/>
  <c r="O7" i="9"/>
  <c r="N7" i="9"/>
  <c r="M7" i="9"/>
  <c r="K7" i="9"/>
  <c r="H7" i="9"/>
  <c r="I69" i="9" l="1"/>
  <c r="L34" i="9"/>
  <c r="P76" i="9"/>
  <c r="P75" i="9" s="1"/>
  <c r="N6" i="9"/>
  <c r="O6" i="9"/>
  <c r="P6" i="9"/>
  <c r="T76" i="9"/>
  <c r="T75" i="9" s="1"/>
  <c r="M76" i="9"/>
  <c r="M75" i="9" s="1"/>
  <c r="O76" i="9"/>
  <c r="O75" i="9" s="1"/>
  <c r="M6" i="9"/>
  <c r="S76" i="9"/>
  <c r="S75" i="9" s="1"/>
  <c r="N76" i="9"/>
  <c r="N75" i="9" s="1"/>
  <c r="R76" i="9"/>
  <c r="R75" i="9" s="1"/>
  <c r="J40" i="9"/>
  <c r="U40" i="9" s="1"/>
  <c r="L39" i="9"/>
  <c r="J18" i="9"/>
  <c r="U18" i="9" s="1"/>
  <c r="L17" i="9"/>
  <c r="R6" i="9"/>
  <c r="J38" i="9"/>
  <c r="J37" i="9" s="1"/>
  <c r="L37" i="9"/>
  <c r="Q6" i="9"/>
  <c r="S6" i="9"/>
  <c r="T6" i="9"/>
  <c r="J32" i="9"/>
  <c r="U32" i="9" s="1"/>
  <c r="U31" i="9" s="1"/>
  <c r="L31" i="9"/>
  <c r="I45" i="9"/>
  <c r="I24" i="9"/>
  <c r="O44" i="9"/>
  <c r="I31" i="9"/>
  <c r="L83" i="9"/>
  <c r="I85" i="9"/>
  <c r="J46" i="9"/>
  <c r="J45" i="9" s="1"/>
  <c r="R44" i="9"/>
  <c r="L42" i="9"/>
  <c r="J51" i="9"/>
  <c r="U51" i="9" s="1"/>
  <c r="U50" i="9" s="1"/>
  <c r="I37" i="9"/>
  <c r="J35" i="9"/>
  <c r="U35" i="9" s="1"/>
  <c r="U34" i="9" s="1"/>
  <c r="I52" i="9"/>
  <c r="R58" i="9"/>
  <c r="M44" i="9"/>
  <c r="N44" i="9"/>
  <c r="N58" i="9"/>
  <c r="O58" i="9"/>
  <c r="H76" i="9"/>
  <c r="H75" i="9" s="1"/>
  <c r="U72" i="9"/>
  <c r="U71" i="9" s="1"/>
  <c r="L7" i="9"/>
  <c r="T49" i="9"/>
  <c r="I55" i="9"/>
  <c r="H71" i="9"/>
  <c r="I71" i="9" s="1"/>
  <c r="U43" i="9"/>
  <c r="U42" i="9" s="1"/>
  <c r="J42" i="9"/>
  <c r="I83" i="9"/>
  <c r="J8" i="9"/>
  <c r="M49" i="9"/>
  <c r="I42" i="9"/>
  <c r="Q87" i="9"/>
  <c r="Q76" i="9" s="1"/>
  <c r="Q75" i="9" s="1"/>
  <c r="K14" i="9"/>
  <c r="I14" i="9" s="1"/>
  <c r="I81" i="9"/>
  <c r="I47" i="9"/>
  <c r="R96" i="9"/>
  <c r="I17" i="9"/>
  <c r="P49" i="9"/>
  <c r="H6" i="9"/>
  <c r="I11" i="9"/>
  <c r="P44" i="9"/>
  <c r="L11" i="9"/>
  <c r="Q44" i="9"/>
  <c r="S58" i="9"/>
  <c r="J69" i="9"/>
  <c r="U90" i="9"/>
  <c r="J72" i="9"/>
  <c r="J71" i="9" s="1"/>
  <c r="I7" i="9"/>
  <c r="U15" i="9"/>
  <c r="U14" i="9" s="1"/>
  <c r="J14" i="9"/>
  <c r="K76" i="9"/>
  <c r="I77" i="9"/>
  <c r="J24" i="9"/>
  <c r="L58" i="9"/>
  <c r="L86" i="9"/>
  <c r="J86" i="9" s="1"/>
  <c r="U86" i="9" s="1"/>
  <c r="I26" i="9"/>
  <c r="L52" i="9"/>
  <c r="L56" i="9"/>
  <c r="J56" i="9" s="1"/>
  <c r="U56" i="9" s="1"/>
  <c r="M58" i="9"/>
  <c r="Q58" i="9"/>
  <c r="L79" i="9"/>
  <c r="L77" i="9" s="1"/>
  <c r="I39" i="9"/>
  <c r="S44" i="9"/>
  <c r="O49" i="9"/>
  <c r="S49" i="9"/>
  <c r="Q49" i="9"/>
  <c r="H58" i="9"/>
  <c r="I58" i="9" s="1"/>
  <c r="U78" i="9"/>
  <c r="J82" i="9"/>
  <c r="I86" i="9"/>
  <c r="I87" i="9"/>
  <c r="L26" i="9"/>
  <c r="J39" i="9"/>
  <c r="P58" i="9"/>
  <c r="T58" i="9"/>
  <c r="J11" i="9"/>
  <c r="U12" i="9"/>
  <c r="U11" i="9" s="1"/>
  <c r="U28" i="9"/>
  <c r="U26" i="9" s="1"/>
  <c r="J26" i="9"/>
  <c r="J83" i="9"/>
  <c r="U84" i="9"/>
  <c r="U83" i="9" s="1"/>
  <c r="U19" i="9"/>
  <c r="J47" i="9"/>
  <c r="T48" i="9"/>
  <c r="T47" i="9" s="1"/>
  <c r="T44" i="9" s="1"/>
  <c r="J92" i="9"/>
  <c r="U92" i="9" s="1"/>
  <c r="L87" i="9"/>
  <c r="J31" i="9"/>
  <c r="H49" i="9"/>
  <c r="J94" i="9"/>
  <c r="J93" i="9" s="1"/>
  <c r="U95" i="9"/>
  <c r="U94" i="9" s="1"/>
  <c r="U93" i="9" s="1"/>
  <c r="U62" i="9"/>
  <c r="U59" i="9" s="1"/>
  <c r="U58" i="9" s="1"/>
  <c r="J59" i="9"/>
  <c r="L47" i="9"/>
  <c r="L44" i="9" s="1"/>
  <c r="J57" i="9"/>
  <c r="L14" i="9"/>
  <c r="L24" i="9"/>
  <c r="N49" i="9"/>
  <c r="R49" i="9"/>
  <c r="U53" i="9"/>
  <c r="U52" i="9" s="1"/>
  <c r="J52" i="9"/>
  <c r="I59" i="9"/>
  <c r="U91" i="9"/>
  <c r="I94" i="9"/>
  <c r="K93" i="9"/>
  <c r="I93" i="9" s="1"/>
  <c r="K44" i="9"/>
  <c r="I50" i="9"/>
  <c r="K49" i="9"/>
  <c r="K98" i="9"/>
  <c r="K97" i="9" s="1"/>
  <c r="R101" i="9"/>
  <c r="R98" i="9" s="1"/>
  <c r="R97" i="9" s="1"/>
  <c r="P5" i="9" l="1"/>
  <c r="P4" i="9" s="1"/>
  <c r="J17" i="9"/>
  <c r="U38" i="9"/>
  <c r="U37" i="9" s="1"/>
  <c r="U17" i="9"/>
  <c r="O5" i="9"/>
  <c r="O4" i="9" s="1"/>
  <c r="U46" i="9"/>
  <c r="U45" i="9" s="1"/>
  <c r="T5" i="9"/>
  <c r="T4" i="9" s="1"/>
  <c r="N5" i="9"/>
  <c r="N4" i="9" s="1"/>
  <c r="S5" i="9"/>
  <c r="S4" i="9" s="1"/>
  <c r="R5" i="9"/>
  <c r="R4" i="9" s="1"/>
  <c r="M5" i="9"/>
  <c r="M4" i="9" s="1"/>
  <c r="L6" i="9"/>
  <c r="Q5" i="9"/>
  <c r="Q4" i="9" s="1"/>
  <c r="K6" i="9"/>
  <c r="K5" i="9" s="1"/>
  <c r="J34" i="9"/>
  <c r="J44" i="9"/>
  <c r="J50" i="9"/>
  <c r="K75" i="9"/>
  <c r="I75" i="9" s="1"/>
  <c r="I49" i="9"/>
  <c r="J58" i="9"/>
  <c r="I76" i="9"/>
  <c r="L85" i="9"/>
  <c r="L76" i="9" s="1"/>
  <c r="L75" i="9" s="1"/>
  <c r="U8" i="9"/>
  <c r="U7" i="9" s="1"/>
  <c r="U6" i="9" s="1"/>
  <c r="J7" i="9"/>
  <c r="U87" i="9"/>
  <c r="L55" i="9"/>
  <c r="L49" i="9" s="1"/>
  <c r="H44" i="9"/>
  <c r="I44" i="9" s="1"/>
  <c r="J79" i="9"/>
  <c r="J81" i="9"/>
  <c r="U82" i="9"/>
  <c r="U81" i="9" s="1"/>
  <c r="U48" i="9"/>
  <c r="U47" i="9" s="1"/>
  <c r="J87" i="9"/>
  <c r="J85" i="9"/>
  <c r="U85" i="9"/>
  <c r="U57" i="9"/>
  <c r="U55" i="9" s="1"/>
  <c r="U49" i="9" s="1"/>
  <c r="J55" i="9"/>
  <c r="H5" i="9"/>
  <c r="I6" i="9"/>
  <c r="L5" i="9" l="1"/>
  <c r="U44" i="9"/>
  <c r="L4" i="9"/>
  <c r="J49" i="9"/>
  <c r="U5" i="9"/>
  <c r="J6" i="9"/>
  <c r="J5" i="9" s="1"/>
  <c r="U79" i="9"/>
  <c r="U77" i="9" s="1"/>
  <c r="U76" i="9" s="1"/>
  <c r="U75" i="9" s="1"/>
  <c r="J77" i="9"/>
  <c r="J76" i="9" s="1"/>
  <c r="J75" i="9" s="1"/>
  <c r="I5" i="9"/>
  <c r="K4" i="9"/>
  <c r="J4" i="9" l="1"/>
  <c r="U4" i="9"/>
</calcChain>
</file>

<file path=xl/sharedStrings.xml><?xml version="1.0" encoding="utf-8"?>
<sst xmlns="http://schemas.openxmlformats.org/spreadsheetml/2006/main" count="468" uniqueCount="263">
  <si>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</si>
  <si>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</si>
  <si>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</si>
  <si>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</si>
  <si>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</si>
  <si>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</si>
  <si>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</si>
  <si>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</si>
  <si>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</si>
  <si>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</si>
  <si>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</si>
  <si>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</si>
  <si>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</si>
  <si>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</si>
  <si>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</si>
  <si>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</si>
  <si>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</si>
  <si>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</si>
  <si>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</si>
  <si>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</si>
  <si>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</si>
  <si>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</si>
  <si>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</si>
  <si>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</si>
  <si>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</si>
  <si>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</si>
  <si>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</si>
  <si>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</si>
  <si>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</si>
  <si>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</si>
  <si>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</si>
  <si>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</si>
  <si>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</si>
  <si>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</si>
  <si>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</si>
  <si>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</si>
  <si>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</si>
  <si>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</si>
  <si>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</si>
  <si>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</si>
  <si>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</si>
  <si>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</si>
  <si>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</si>
  <si>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</si>
  <si>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</si>
  <si>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</si>
  <si>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</si>
  <si>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</si>
  <si>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</si>
  <si>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</si>
  <si>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</si>
  <si>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</si>
  <si>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</si>
  <si>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</si>
  <si>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</si>
  <si>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</si>
  <si>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</si>
  <si>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</si>
  <si>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</si>
  <si>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</si>
  <si>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</si>
  <si>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</si>
  <si>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</si>
  <si>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</si>
  <si>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</si>
  <si>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</si>
  <si>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</si>
  <si>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</si>
  <si>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</si>
  <si>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</si>
  <si>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</si>
  <si>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</si>
  <si>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</si>
  <si>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</si>
  <si>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</si>
  <si>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</si>
  <si>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</si>
  <si>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</si>
  <si>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</si>
  <si>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</si>
  <si>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</si>
  <si>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</si>
  <si>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</si>
  <si>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</si>
  <si>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</si>
  <si>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</si>
  <si>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</si>
  <si>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</si>
  <si>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</si>
  <si>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</si>
  <si>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</si>
  <si>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</si>
  <si>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</si>
  <si>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</si>
  <si>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</si>
  <si>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</si>
  <si>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</si>
  <si>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</si>
  <si>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</si>
  <si>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</si>
  <si>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</si>
  <si>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</si>
  <si>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</si>
  <si>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</si>
  <si>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</si>
  <si>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</si>
  <si>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</si>
  <si>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</si>
  <si>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</si>
  <si>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</si>
  <si>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B.SO1.4.27-02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</si>
  <si>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</si>
  <si>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</si>
  <si>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</si>
  <si>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</si>
  <si>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</si>
  <si>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</si>
  <si>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</si>
  <si>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</si>
  <si>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</si>
  <si>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</si>
  <si>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</si>
  <si>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</si>
  <si>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</si>
  <si>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</si>
  <si>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</si>
  <si>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</si>
  <si>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</si>
  <si>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</si>
  <si>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</si>
  <si>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</si>
  <si>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</si>
  <si>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</si>
  <si>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</si>
  <si>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</si>
  <si>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</si>
  <si>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</si>
  <si>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</si>
  <si>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</si>
  <si>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</si>
  <si>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</si>
  <si>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</si>
  <si>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</si>
  <si>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</si>
  <si>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</si>
  <si>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</si>
  <si>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</si>
  <si>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</si>
  <si>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</si>
  <si>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</si>
  <si>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</si>
  <si>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</si>
  <si>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</si>
  <si>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</si>
  <si>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</si>
  <si>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</si>
  <si>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</si>
  <si>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</si>
  <si>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</si>
  <si>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</si>
  <si>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</si>
  <si>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B.SO1.6.22</t>
  </si>
  <si>
    <t>B.SO1.6.22-01</t>
  </si>
  <si>
    <t>ETIAS 85(2)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</si>
  <si>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</si>
  <si>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</si>
  <si>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</si>
  <si>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</si>
  <si>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</si>
  <si>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</si>
  <si>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</si>
  <si>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</si>
  <si>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</si>
  <si>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</si>
  <si>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</si>
  <si>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</si>
  <si>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</si>
  <si>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</si>
  <si>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</si>
  <si>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</si>
  <si>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</si>
  <si>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</si>
  <si>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</si>
  <si>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EU - stanje verzije IUMV - marec 2025</t>
  </si>
  <si>
    <t>Izvedba nacionalnega MID orodja  (Priloga IV, 90%)</t>
  </si>
  <si>
    <t>Sodelovanje strokovnjakov pri nadzoru schengenskega poslovanja in na sestankih delovnih teles EU (75%)</t>
  </si>
  <si>
    <t>RAZLIKA NOVI AN-STARA (EU zneski)</t>
  </si>
  <si>
    <t>Replacement of IT equipment at the border</t>
  </si>
  <si>
    <t>PKI infrastructure - passive authentication, terminal application</t>
  </si>
  <si>
    <t xml:space="preserve">Document authentication devices </t>
  </si>
  <si>
    <t>Purchasing handheld and mobile thermal imaging equipment</t>
  </si>
  <si>
    <t xml:space="preserve">Purchase of means of transport </t>
  </si>
  <si>
    <t>Maritime Border Guard Vessel-Boats</t>
  </si>
  <si>
    <t>Radar system</t>
  </si>
  <si>
    <t>Update of data exchange applications (EUROPOL, INTERPOL, SIRENE)</t>
  </si>
  <si>
    <t xml:space="preserve">Participation of experts in Schengen evaluations </t>
  </si>
  <si>
    <t>International space for refused third-country nationals</t>
  </si>
  <si>
    <t>Replacement of equipment at border crossing points</t>
  </si>
  <si>
    <t>Strategic support for risk analyses</t>
  </si>
  <si>
    <t>Redesign for interoperability and developer costs</t>
  </si>
  <si>
    <t>Overhaul of the EUROSUR national system</t>
  </si>
  <si>
    <t>Improving analytical capabilities for more advanced risk assessments towards "hot spot" analyses and discovering complex links in data.</t>
  </si>
  <si>
    <t>Establishing the NCC</t>
  </si>
  <si>
    <t>EES development, upgrading and IT equipment</t>
  </si>
  <si>
    <t>ETIAS training, study visits, working meetings</t>
  </si>
  <si>
    <t>SIS upgrade</t>
  </si>
  <si>
    <t>Protecting personal data for interoperability</t>
  </si>
  <si>
    <t xml:space="preserve">Procurement of handheld and mobile thermal imaging equipment and vehicles </t>
  </si>
  <si>
    <t>Immigration liaison officers</t>
  </si>
  <si>
    <t xml:space="preserve">Deployment of police officers to assist in the protection of the external Schengen border (North Macedonia, Serbia) </t>
  </si>
  <si>
    <t>Development and national implementation of EU interoperability projects</t>
  </si>
  <si>
    <t xml:space="preserve">Update of data exchange applications (EUROPOL, INTERPOL, SIRENE) </t>
  </si>
  <si>
    <t>Maintenance of SIS II Communication Interface (SIB) (100%)-OP</t>
  </si>
  <si>
    <t xml:space="preserve">Maintenance of the maritime radar system </t>
  </si>
  <si>
    <t>Training for external Schengen border control
additional specialised training - €5,000 per year (accommodation and meals), total €35,000</t>
  </si>
  <si>
    <t xml:space="preserve">Salaries of border guards </t>
  </si>
  <si>
    <t>Development and national implementation of EU interoperability projects (100%)- operational support</t>
  </si>
  <si>
    <t xml:space="preserve">Maintenance of the ETIAS application </t>
  </si>
  <si>
    <t>Implementation of the national MID tool (Annex IV, 90%)</t>
  </si>
  <si>
    <t>Participation of experts in Schengen monitoring and in meetings of EU working bodies (75%)</t>
  </si>
  <si>
    <t>Implementation of EU rules on screening linked to the implementation of the Pact on Migration and Asylum; rental of premises, staff, training (100%)</t>
  </si>
  <si>
    <t>Implementation of EU rules on screening linked to the implementation of the Pact on Migration and Asylum; infrastructure  (75%)</t>
  </si>
  <si>
    <t>Vzdrževanje aplikacij</t>
  </si>
  <si>
    <t>Plače napotenih policistov na zunanjo schengensko mejo</t>
  </si>
  <si>
    <t>B.SO1.4.26-08</t>
  </si>
  <si>
    <t xml:space="preserve">Reducing ITSP exposure to cyber risks and threats </t>
  </si>
  <si>
    <t>Zmanjšanje izpostavljenosti ITSP pred kibernetskimi tveganji in grožnjami (75%)</t>
  </si>
  <si>
    <t>B.SO1.2</t>
  </si>
  <si>
    <t>Posebni ukrepi (75%)</t>
  </si>
  <si>
    <t>B.SO1.2.7</t>
  </si>
  <si>
    <t>B.SO1.2.7-01</t>
  </si>
  <si>
    <t>B.SO1.2.19</t>
  </si>
  <si>
    <t>B.SO1.2.19-01</t>
  </si>
  <si>
    <t xml:space="preserve">Obsežni informacijski sistemi - EURODAC za namene upravljanja meja
</t>
  </si>
  <si>
    <t>Nakup čitalcev za upravne enote</t>
  </si>
  <si>
    <t>Ministrstvo za digitalno preobrazbo</t>
  </si>
  <si>
    <t>Vzpostavitev in prilagoditev za varnost pomembnih IT sistemov</t>
  </si>
  <si>
    <t>Izpolnitev schengenskih priporočil</t>
  </si>
  <si>
    <t>B.SO1.1.25</t>
  </si>
  <si>
    <t>Kontrola</t>
  </si>
  <si>
    <t>B.SO1.1.7-05</t>
  </si>
  <si>
    <t>B.SO1.1.7-06</t>
  </si>
  <si>
    <t>B.SO1.1.20-02</t>
  </si>
  <si>
    <t>B.SO1.1.25-01</t>
  </si>
  <si>
    <t>B.SO1.1.25-02</t>
  </si>
  <si>
    <t>B.SO1.3.25-02</t>
  </si>
  <si>
    <t>B.SO1.4.26-09</t>
  </si>
  <si>
    <t>B.SO1.4.26-10</t>
  </si>
  <si>
    <t>B.SO2.1.1-03</t>
  </si>
  <si>
    <t>Proračun 2026</t>
  </si>
  <si>
    <t>Razlika 2026</t>
  </si>
  <si>
    <t>Prostori za izvajanje Uredbe o preverjanju državljanov tretjih držav na zunanjih mejah - projekt Policije 6 (75%)</t>
  </si>
  <si>
    <t>Najem poslovnih prostorov za potrebe izvajanja postopkov preverjanja in mejnih postopkov mednarodne zaščite - Pakt (100%)</t>
  </si>
  <si>
    <t>Financiranje stroškov dela ter izvedbe usposabljanj - Pakt (100%)</t>
  </si>
  <si>
    <t>Impementacija EURODAC RECAST (90%)</t>
  </si>
  <si>
    <t>Nakup prevoznih sredstev za izvajanje postopkov, povezanih s preverjanjem (90%)</t>
  </si>
  <si>
    <t>EU</t>
  </si>
  <si>
    <t>SLO</t>
  </si>
  <si>
    <t>MNZ</t>
  </si>
  <si>
    <t>Policija -UUP</t>
  </si>
  <si>
    <t>Policija -SGDP</t>
  </si>
  <si>
    <t>Prenos 1.685.000,00 € na IKT strojno opremo</t>
  </si>
  <si>
    <t>Povišanje za 1.685.000,00 s prenosom s Programskim komponent.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</si>
</sst>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%"/>
    <numFmt numFmtId="165" formatCode="_-* #,##0.00\ _€_-;\-* #,##0.00\ _€_-;_-* &quot;-&quot;??\ _€_-;_-@_-"/>
    <numFmt numFmtId="166" formatCode="#,##0.000"/>
  </numFmts>
  <fonts count="15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2" xfId="0" quotePrefix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4" fillId="5" borderId="2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vertical="center" wrapText="1"/>
    </xf>
    <xf numFmtId="4" fontId="6" fillId="7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6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8" borderId="2" xfId="0" applyFont="1" applyFill="1" applyBorder="1" applyAlignment="1">
      <alignment vertical="center" wrapText="1"/>
    </xf>
    <xf numFmtId="4" fontId="6" fillId="8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5" borderId="2" xfId="0" applyNumberFormat="1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vertical="center" wrapText="1"/>
    </xf>
    <xf numFmtId="43" fontId="1" fillId="0" borderId="0" xfId="1" applyFont="1" applyAlignment="1">
      <alignment vertical="center"/>
    </xf>
    <xf numFmtId="4" fontId="6" fillId="0" borderId="2" xfId="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4" fontId="2" fillId="0" borderId="2" xfId="0" applyNumberFormat="1" applyFont="1" applyFill="1" applyBorder="1" applyAlignment="1">
      <alignment vertical="center" wrapText="1"/>
    </xf>
    <xf numFmtId="166" fontId="1" fillId="3" borderId="2" xfId="0" applyNumberFormat="1" applyFont="1" applyFill="1" applyBorder="1" applyAlignment="1">
      <alignment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18297</xdr:colOff>
      <xdr:row>0</xdr:row>
      <xdr:rowOff>85725</xdr:rowOff>
    </xdr:from>
    <xdr:to>
      <xdr:col>21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85725"/>
          <a:ext cx="1162050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F107"/>
  <sheetViews>
    <sheetView tabSelected="1" zoomScale="80" zoomScaleNormal="80" zoomScaleSheetLayoutView="70" workbookViewId="0">
      <pane xSplit="6" ySplit="7" topLeftCell="G86" activePane="bottomRight" state="frozen"/>
      <selection pane="topRight" activeCell="G1" sqref="G1"/>
      <selection pane="bottomLeft" activeCell="A8" sqref="A8"/>
      <selection pane="bottomRight" sqref="A1:V101"/>
    </sheetView>
  </sheetViews>
  <sheetFormatPr defaultColWidth="9.140625" defaultRowHeight="12.75" x14ac:dyDescent="0.2"/>
  <cols>
    <col min="1" max="1" width="9.140625" style="49"/>
    <col min="2" max="2" width="17.28515625" style="49" customWidth="1"/>
    <col min="3" max="3" width="29.85546875" style="49" customWidth="1"/>
    <col min="4" max="4" width="9.140625" style="49"/>
    <col min="5" max="5" width="17.85546875" style="49" hidden="1" customWidth="1"/>
    <col min="6" max="6" width="10.7109375" style="49" customWidth="1"/>
    <col min="7" max="7" width="16.140625" style="49" customWidth="1"/>
    <col min="8" max="8" width="19.5703125" style="9" hidden="1" customWidth="1"/>
    <col min="9" max="9" width="16.28515625" style="9" hidden="1" customWidth="1"/>
    <col min="10" max="10" width="16.28515625" style="49" customWidth="1"/>
    <col min="11" max="11" width="16.5703125" style="49" customWidth="1"/>
    <col min="12" max="12" width="14.42578125" style="49" bestFit="1" customWidth="1"/>
    <col min="13" max="13" width="7.28515625" style="49" hidden="1" customWidth="1"/>
    <col min="14" max="14" width="11.28515625" style="49" customWidth="1"/>
    <col min="15" max="15" width="12.28515625" style="49" customWidth="1"/>
    <col min="16" max="16" width="15.5703125" style="49" customWidth="1"/>
    <col min="17" max="18" width="13.42578125" style="49" bestFit="1" customWidth="1"/>
    <col min="19" max="19" width="15.42578125" style="49" customWidth="1"/>
    <col min="20" max="20" width="15" style="49" customWidth="1"/>
    <col min="21" max="21" width="12.28515625" style="49" hidden="1" customWidth="1"/>
    <col min="22" max="22" width="20.7109375" style="49" customWidth="1"/>
    <col min="23" max="23" width="13.28515625" style="9" hidden="1" customWidth="1"/>
    <col min="24" max="24" width="14.7109375" style="9" hidden="1" customWidth="1"/>
    <col min="25" max="25" width="13.140625" style="9" hidden="1" customWidth="1"/>
    <col min="26" max="26" width="14.7109375" style="9" hidden="1" customWidth="1"/>
    <col min="27" max="27" width="12.7109375" style="9" hidden="1" customWidth="1"/>
    <col min="28" max="28" width="12.42578125" style="9" bestFit="1" customWidth="1"/>
    <col min="29" max="29" width="11.28515625" style="9" bestFit="1" customWidth="1"/>
    <col min="30" max="30" width="9.140625" style="9"/>
    <col min="31" max="32" width="12.7109375" style="9" bestFit="1" customWidth="1"/>
    <col min="33" max="16384" width="9.140625" style="9"/>
  </cols>
  <sheetData>
    <row r="1" spans="1:32" ht="15.75" x14ac:dyDescent="0.2">
      <c r="A1" s="5" t="s">
        <v>175</v>
      </c>
      <c r="B1" s="6"/>
      <c r="C1" s="5"/>
      <c r="D1" s="6"/>
      <c r="E1" s="6"/>
      <c r="F1" s="6"/>
      <c r="G1" s="6"/>
      <c r="H1" s="7"/>
      <c r="I1" s="7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</row>
    <row r="2" spans="1:32" ht="15.75" x14ac:dyDescent="0.2">
      <c r="A2" s="6"/>
      <c r="B2" s="6"/>
      <c r="C2" s="6"/>
      <c r="D2" s="6"/>
      <c r="E2" s="6"/>
      <c r="F2" s="6"/>
      <c r="G2" s="6"/>
      <c r="H2" s="7"/>
      <c r="I2" s="7"/>
      <c r="J2" s="10"/>
      <c r="K2" s="6"/>
      <c r="L2" s="6"/>
      <c r="M2" s="6"/>
      <c r="N2" s="11"/>
      <c r="O2" s="11"/>
      <c r="P2" s="11"/>
      <c r="Q2" s="11"/>
      <c r="R2" s="11"/>
      <c r="S2" s="11"/>
      <c r="T2" s="11"/>
      <c r="U2" s="11"/>
      <c r="V2" s="11"/>
    </row>
    <row r="3" spans="1:32" ht="24" x14ac:dyDescent="0.2">
      <c r="A3" s="12" t="s">
        <v>12</v>
      </c>
      <c r="B3" s="12" t="s">
        <v>5</v>
      </c>
      <c r="C3" s="13" t="s">
        <v>14</v>
      </c>
      <c r="D3" s="13" t="s">
        <v>6</v>
      </c>
      <c r="E3" s="13"/>
      <c r="F3" s="13" t="s">
        <v>13</v>
      </c>
      <c r="G3" s="13" t="s">
        <v>7</v>
      </c>
      <c r="H3" s="14" t="s">
        <v>183</v>
      </c>
      <c r="I3" s="14" t="s">
        <v>186</v>
      </c>
      <c r="J3" s="13" t="s">
        <v>8</v>
      </c>
      <c r="K3" s="13" t="s">
        <v>11</v>
      </c>
      <c r="L3" s="13" t="s">
        <v>9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15">
        <v>2027</v>
      </c>
      <c r="S3" s="15">
        <v>2028</v>
      </c>
      <c r="T3" s="15">
        <v>2029</v>
      </c>
      <c r="U3" s="56" t="s">
        <v>239</v>
      </c>
      <c r="V3" s="15" t="s">
        <v>167</v>
      </c>
      <c r="W3" s="9" t="s">
        <v>249</v>
      </c>
      <c r="X3" s="9">
        <v>2027</v>
      </c>
      <c r="Y3" s="9" t="s">
        <v>250</v>
      </c>
      <c r="Z3" s="9" t="s">
        <v>256</v>
      </c>
      <c r="AA3" s="9" t="s">
        <v>257</v>
      </c>
    </row>
    <row r="4" spans="1:32" ht="31.5" customHeight="1" x14ac:dyDescent="0.2">
      <c r="A4" s="16"/>
      <c r="B4" s="16" t="s">
        <v>145</v>
      </c>
      <c r="C4" s="13"/>
      <c r="D4" s="13"/>
      <c r="E4" s="13"/>
      <c r="F4" s="13"/>
      <c r="G4" s="13"/>
      <c r="H4" s="17"/>
      <c r="I4" s="17"/>
      <c r="J4" s="18">
        <f t="shared" ref="J4:U4" si="0">+J5+J75+J96</f>
        <v>145754028.92905661</v>
      </c>
      <c r="K4" s="18">
        <f t="shared" si="0"/>
        <v>124900295.70905662</v>
      </c>
      <c r="L4" s="18">
        <f t="shared" si="0"/>
        <v>20853733.219999999</v>
      </c>
      <c r="M4" s="18">
        <f t="shared" si="0"/>
        <v>0</v>
      </c>
      <c r="N4" s="18">
        <f t="shared" si="0"/>
        <v>861539.55369999993</v>
      </c>
      <c r="O4" s="18">
        <f t="shared" si="0"/>
        <v>4581457.4085999997</v>
      </c>
      <c r="P4" s="18">
        <f t="shared" si="0"/>
        <v>10018175.07</v>
      </c>
      <c r="Q4" s="18">
        <f t="shared" si="0"/>
        <v>24352243.119999997</v>
      </c>
      <c r="R4" s="18">
        <f t="shared" si="0"/>
        <v>50118404.279056609</v>
      </c>
      <c r="S4" s="18">
        <f t="shared" si="0"/>
        <v>26414995.170000002</v>
      </c>
      <c r="T4" s="18">
        <f t="shared" si="0"/>
        <v>29407214.330000002</v>
      </c>
      <c r="U4" s="57">
        <f t="shared" si="0"/>
        <v>-2.3000000401225407E-3</v>
      </c>
      <c r="V4" s="18"/>
      <c r="X4" s="19"/>
      <c r="Z4" s="19"/>
      <c r="AC4" s="55"/>
    </row>
    <row r="5" spans="1:32" ht="24" x14ac:dyDescent="0.2">
      <c r="A5" s="20"/>
      <c r="B5" s="20" t="s">
        <v>60</v>
      </c>
      <c r="C5" s="20" t="s">
        <v>18</v>
      </c>
      <c r="D5" s="20" t="s">
        <v>0</v>
      </c>
      <c r="E5" s="20"/>
      <c r="F5" s="20"/>
      <c r="G5" s="20"/>
      <c r="H5" s="21" t="e">
        <f>+H6+H49+H58+H71+#REF!+#REF!+#REF!+#REF!+#REF!</f>
        <v>#REF!</v>
      </c>
      <c r="I5" s="22" t="e">
        <f t="shared" ref="I5:I11" si="1">+K5-H5</f>
        <v>#REF!</v>
      </c>
      <c r="J5" s="21">
        <f t="shared" ref="J5:U5" si="2">+J6+J44+J49+J58+J71</f>
        <v>116217534.18000001</v>
      </c>
      <c r="K5" s="21">
        <f t="shared" si="2"/>
        <v>99605467.650000006</v>
      </c>
      <c r="L5" s="21">
        <f t="shared" si="2"/>
        <v>16612066.529999997</v>
      </c>
      <c r="M5" s="21">
        <f t="shared" si="2"/>
        <v>0</v>
      </c>
      <c r="N5" s="21">
        <f t="shared" si="2"/>
        <v>19428.449999999997</v>
      </c>
      <c r="O5" s="21">
        <f t="shared" si="2"/>
        <v>1993464.6800000002</v>
      </c>
      <c r="P5" s="21">
        <f t="shared" si="2"/>
        <v>6216836.9100000001</v>
      </c>
      <c r="Q5" s="21">
        <f t="shared" si="2"/>
        <v>18642495.779999997</v>
      </c>
      <c r="R5" s="21">
        <f t="shared" si="2"/>
        <v>41619821.839999996</v>
      </c>
      <c r="S5" s="21">
        <f t="shared" si="2"/>
        <v>22019995.170000002</v>
      </c>
      <c r="T5" s="21">
        <f t="shared" si="2"/>
        <v>25705491.350000001</v>
      </c>
      <c r="U5" s="21">
        <f t="shared" si="2"/>
        <v>-1.4551915228366852E-11</v>
      </c>
      <c r="V5" s="21"/>
      <c r="Z5" s="19"/>
      <c r="AC5" s="55"/>
      <c r="AE5" s="19"/>
      <c r="AF5" s="19"/>
    </row>
    <row r="6" spans="1:32" ht="24" x14ac:dyDescent="0.2">
      <c r="A6" s="23"/>
      <c r="B6" s="23" t="s">
        <v>61</v>
      </c>
      <c r="C6" s="23" t="s">
        <v>17</v>
      </c>
      <c r="D6" s="23" t="s">
        <v>15</v>
      </c>
      <c r="E6" s="23"/>
      <c r="F6" s="23"/>
      <c r="G6" s="23"/>
      <c r="H6" s="24">
        <f>+H7+H11+H14+H17+H24+H26+H31+H34+H39+H42</f>
        <v>31312100.009999998</v>
      </c>
      <c r="I6" s="24">
        <f t="shared" si="1"/>
        <v>10924419.450000003</v>
      </c>
      <c r="J6" s="25">
        <f>+J7+J14+J11+J17+J24+J26+J31+J34+J39+J37+J42</f>
        <v>56315359.340000004</v>
      </c>
      <c r="K6" s="25">
        <f t="shared" ref="K6:T6" si="3">+K7+K14+K11+K17+K24+K26+K31+K34+K39+K37+K42</f>
        <v>42236519.460000001</v>
      </c>
      <c r="L6" s="25">
        <f t="shared" si="3"/>
        <v>14078839.879999999</v>
      </c>
      <c r="M6" s="25">
        <f t="shared" si="3"/>
        <v>0</v>
      </c>
      <c r="N6" s="25">
        <f t="shared" si="3"/>
        <v>19428.449999999997</v>
      </c>
      <c r="O6" s="25">
        <f t="shared" si="3"/>
        <v>391753.50000000006</v>
      </c>
      <c r="P6" s="25">
        <f t="shared" si="3"/>
        <v>2971217.31</v>
      </c>
      <c r="Q6" s="25">
        <f t="shared" si="3"/>
        <v>7165060.8999999994</v>
      </c>
      <c r="R6" s="25">
        <f t="shared" si="3"/>
        <v>26419768.289999995</v>
      </c>
      <c r="S6" s="25">
        <f t="shared" si="3"/>
        <v>9125666.2400000002</v>
      </c>
      <c r="T6" s="25">
        <f t="shared" si="3"/>
        <v>10222464.649999999</v>
      </c>
      <c r="U6" s="25">
        <f t="shared" ref="U6" si="4">+U7+U14+U11+U17+U24+U26+U31+U34+U39+U37+U42</f>
        <v>1.0186340659856796E-10</v>
      </c>
      <c r="V6" s="25"/>
      <c r="X6" s="19"/>
      <c r="Z6" s="19"/>
    </row>
    <row r="7" spans="1:32" s="29" customFormat="1" ht="15" x14ac:dyDescent="0.2">
      <c r="A7" s="26"/>
      <c r="B7" s="26" t="s">
        <v>62</v>
      </c>
      <c r="C7" s="26" t="s">
        <v>19</v>
      </c>
      <c r="D7" s="26" t="s">
        <v>1</v>
      </c>
      <c r="E7" s="26"/>
      <c r="F7" s="26"/>
      <c r="G7" s="26"/>
      <c r="H7" s="27">
        <f>SUM(H8:H10)</f>
        <v>838070.01</v>
      </c>
      <c r="I7" s="28">
        <f t="shared" si="1"/>
        <v>19267.5</v>
      </c>
      <c r="J7" s="27">
        <f>SUM(J8:J10)</f>
        <v>1143116.6800000002</v>
      </c>
      <c r="K7" s="27">
        <f t="shared" ref="K7:R7" si="5">SUM(K8:K10)</f>
        <v>857337.51</v>
      </c>
      <c r="L7" s="27">
        <f t="shared" si="5"/>
        <v>285779.17000000004</v>
      </c>
      <c r="M7" s="27">
        <f t="shared" si="5"/>
        <v>0</v>
      </c>
      <c r="N7" s="27">
        <f t="shared" si="5"/>
        <v>0</v>
      </c>
      <c r="O7" s="27">
        <f t="shared" si="5"/>
        <v>0</v>
      </c>
      <c r="P7" s="27">
        <f t="shared" si="5"/>
        <v>168000</v>
      </c>
      <c r="Q7" s="27">
        <f t="shared" si="5"/>
        <v>604317.80000000005</v>
      </c>
      <c r="R7" s="27">
        <f t="shared" si="5"/>
        <v>370798.88</v>
      </c>
      <c r="S7" s="27">
        <f t="shared" ref="S7:T7" si="6">SUM(S8:S10)</f>
        <v>0</v>
      </c>
      <c r="T7" s="27">
        <f t="shared" si="6"/>
        <v>0</v>
      </c>
      <c r="U7" s="28">
        <f t="shared" ref="U7" si="7">SUM(U8:U10)</f>
        <v>0</v>
      </c>
      <c r="V7" s="27"/>
      <c r="X7" s="30"/>
    </row>
    <row r="8" spans="1:32" s="29" customFormat="1" ht="36" x14ac:dyDescent="0.2">
      <c r="A8" s="3">
        <v>1</v>
      </c>
      <c r="B8" s="3" t="s">
        <v>63</v>
      </c>
      <c r="C8" s="3" t="s">
        <v>20</v>
      </c>
      <c r="D8" s="3" t="s">
        <v>2</v>
      </c>
      <c r="E8" s="3" t="s">
        <v>187</v>
      </c>
      <c r="F8" s="3" t="s">
        <v>36</v>
      </c>
      <c r="G8" s="3" t="s">
        <v>10</v>
      </c>
      <c r="H8" s="31">
        <v>106732.5</v>
      </c>
      <c r="I8" s="31">
        <f t="shared" si="1"/>
        <v>19267.5</v>
      </c>
      <c r="J8" s="32">
        <f>+K8+L8</f>
        <v>168000</v>
      </c>
      <c r="K8" s="32">
        <v>126000</v>
      </c>
      <c r="L8" s="33">
        <f>ROUNDUP(K8/3,2)</f>
        <v>42000</v>
      </c>
      <c r="M8" s="33"/>
      <c r="N8" s="33">
        <v>0</v>
      </c>
      <c r="O8" s="33">
        <v>0</v>
      </c>
      <c r="P8" s="33">
        <v>168000</v>
      </c>
      <c r="Q8" s="33">
        <v>0</v>
      </c>
      <c r="R8" s="33">
        <v>0</v>
      </c>
      <c r="S8" s="33">
        <v>0</v>
      </c>
      <c r="T8" s="33">
        <v>0</v>
      </c>
      <c r="U8" s="31">
        <f>+J8-N8-O8-P8-Q8-R8-S8-T8</f>
        <v>0</v>
      </c>
      <c r="V8" s="33"/>
      <c r="X8" s="34"/>
      <c r="Z8" s="35"/>
      <c r="AA8" s="36"/>
    </row>
    <row r="9" spans="1:32" s="29" customFormat="1" ht="48" x14ac:dyDescent="0.2">
      <c r="A9" s="3">
        <v>2</v>
      </c>
      <c r="B9" s="3" t="s">
        <v>64</v>
      </c>
      <c r="C9" s="3" t="s">
        <v>21</v>
      </c>
      <c r="D9" s="3" t="s">
        <v>2</v>
      </c>
      <c r="E9" s="3" t="s">
        <v>188</v>
      </c>
      <c r="F9" s="3" t="s">
        <v>36</v>
      </c>
      <c r="G9" s="3" t="s">
        <v>10</v>
      </c>
      <c r="H9" s="31">
        <v>635037.51</v>
      </c>
      <c r="I9" s="31">
        <f t="shared" si="1"/>
        <v>0</v>
      </c>
      <c r="J9" s="33">
        <f t="shared" ref="J9:J10" si="8">+K9+L9</f>
        <v>846716.68</v>
      </c>
      <c r="K9" s="33">
        <v>635037.51</v>
      </c>
      <c r="L9" s="33">
        <f t="shared" ref="L9:L10" si="9">ROUNDUP(K9/3,2)</f>
        <v>211679.17</v>
      </c>
      <c r="M9" s="33"/>
      <c r="N9" s="33">
        <v>0</v>
      </c>
      <c r="O9" s="33">
        <v>0</v>
      </c>
      <c r="P9" s="33">
        <v>0</v>
      </c>
      <c r="Q9" s="33">
        <v>604317.80000000005</v>
      </c>
      <c r="R9" s="33">
        <v>242398.88</v>
      </c>
      <c r="S9" s="33">
        <v>0</v>
      </c>
      <c r="T9" s="33">
        <v>0</v>
      </c>
      <c r="U9" s="31">
        <f t="shared" ref="U9:U10" si="10">+J9-N9-O9-P9-Q9-R9-S9-T9</f>
        <v>0</v>
      </c>
      <c r="V9" s="33"/>
      <c r="X9" s="35"/>
      <c r="Z9" s="35"/>
    </row>
    <row r="10" spans="1:32" s="29" customFormat="1" ht="36" x14ac:dyDescent="0.2">
      <c r="A10" s="3">
        <v>3</v>
      </c>
      <c r="B10" s="3" t="s">
        <v>65</v>
      </c>
      <c r="C10" s="3" t="s">
        <v>22</v>
      </c>
      <c r="D10" s="3" t="s">
        <v>2</v>
      </c>
      <c r="E10" s="3" t="s">
        <v>189</v>
      </c>
      <c r="F10" s="3" t="s">
        <v>35</v>
      </c>
      <c r="G10" s="3" t="s">
        <v>10</v>
      </c>
      <c r="H10" s="31">
        <v>96300</v>
      </c>
      <c r="I10" s="31">
        <f t="shared" si="1"/>
        <v>0</v>
      </c>
      <c r="J10" s="32">
        <f t="shared" si="8"/>
        <v>128400</v>
      </c>
      <c r="K10" s="32">
        <v>96300</v>
      </c>
      <c r="L10" s="33">
        <f t="shared" si="9"/>
        <v>32100</v>
      </c>
      <c r="M10" s="33"/>
      <c r="N10" s="33">
        <v>0</v>
      </c>
      <c r="O10" s="33">
        <v>0</v>
      </c>
      <c r="P10" s="33">
        <v>0</v>
      </c>
      <c r="Q10" s="33">
        <v>0</v>
      </c>
      <c r="R10" s="33">
        <v>128400</v>
      </c>
      <c r="S10" s="33">
        <v>0</v>
      </c>
      <c r="T10" s="33">
        <v>0</v>
      </c>
      <c r="U10" s="31">
        <f t="shared" si="10"/>
        <v>0</v>
      </c>
      <c r="V10" s="33"/>
      <c r="X10" s="35"/>
    </row>
    <row r="11" spans="1:32" s="29" customFormat="1" ht="24" x14ac:dyDescent="0.2">
      <c r="A11" s="26"/>
      <c r="B11" s="26" t="s">
        <v>66</v>
      </c>
      <c r="C11" s="26" t="s">
        <v>23</v>
      </c>
      <c r="D11" s="26" t="s">
        <v>1</v>
      </c>
      <c r="E11" s="26"/>
      <c r="F11" s="26"/>
      <c r="G11" s="26"/>
      <c r="H11" s="27">
        <f>+H12+H13</f>
        <v>2675000</v>
      </c>
      <c r="I11" s="28">
        <f t="shared" si="1"/>
        <v>0</v>
      </c>
      <c r="J11" s="27">
        <f>+J12+J13</f>
        <v>3566666.6799999997</v>
      </c>
      <c r="K11" s="27">
        <f t="shared" ref="K11:R11" si="11">+K12+K13</f>
        <v>2675000</v>
      </c>
      <c r="L11" s="27">
        <f t="shared" si="11"/>
        <v>891666.67999999993</v>
      </c>
      <c r="M11" s="27">
        <f t="shared" si="11"/>
        <v>0</v>
      </c>
      <c r="N11" s="27">
        <f t="shared" si="11"/>
        <v>0</v>
      </c>
      <c r="O11" s="27">
        <f t="shared" si="11"/>
        <v>0</v>
      </c>
      <c r="P11" s="27">
        <f t="shared" si="11"/>
        <v>1000000</v>
      </c>
      <c r="Q11" s="27">
        <f t="shared" si="11"/>
        <v>0</v>
      </c>
      <c r="R11" s="27">
        <f t="shared" si="11"/>
        <v>0</v>
      </c>
      <c r="S11" s="27">
        <f t="shared" ref="S11:T11" si="12">+S12+S13</f>
        <v>0</v>
      </c>
      <c r="T11" s="27">
        <f t="shared" si="12"/>
        <v>2566666.6800000002</v>
      </c>
      <c r="U11" s="28">
        <f t="shared" ref="U11" si="13">+U12+U13</f>
        <v>0</v>
      </c>
      <c r="V11" s="27"/>
      <c r="X11" s="35"/>
    </row>
    <row r="12" spans="1:32" s="29" customFormat="1" ht="48" x14ac:dyDescent="0.2">
      <c r="A12" s="3">
        <v>4</v>
      </c>
      <c r="B12" s="3" t="s">
        <v>67</v>
      </c>
      <c r="C12" s="3" t="s">
        <v>24</v>
      </c>
      <c r="D12" s="3" t="s">
        <v>2</v>
      </c>
      <c r="E12" s="3" t="s">
        <v>190</v>
      </c>
      <c r="F12" s="3" t="s">
        <v>35</v>
      </c>
      <c r="G12" s="3" t="s">
        <v>10</v>
      </c>
      <c r="H12" s="31">
        <v>535000</v>
      </c>
      <c r="I12" s="31">
        <f t="shared" ref="I12:I47" si="14">+K12-H12</f>
        <v>0</v>
      </c>
      <c r="J12" s="33">
        <f t="shared" ref="J12:J13" si="15">+K12+L12</f>
        <v>713333.34</v>
      </c>
      <c r="K12" s="33">
        <v>535000</v>
      </c>
      <c r="L12" s="33">
        <f t="shared" ref="L12:L13" si="16">ROUNDUP(K12/3,2)</f>
        <v>178333.34</v>
      </c>
      <c r="M12" s="33"/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713333.34</v>
      </c>
      <c r="U12" s="31">
        <f t="shared" ref="U12:U13" si="17">+J12-N12-O12-P12-Q12-R12-S12-T12</f>
        <v>0</v>
      </c>
      <c r="V12" s="33"/>
    </row>
    <row r="13" spans="1:32" s="29" customFormat="1" ht="24" x14ac:dyDescent="0.2">
      <c r="A13" s="3">
        <v>5</v>
      </c>
      <c r="B13" s="3" t="s">
        <v>68</v>
      </c>
      <c r="C13" s="3" t="s">
        <v>25</v>
      </c>
      <c r="D13" s="3" t="s">
        <v>2</v>
      </c>
      <c r="E13" s="3" t="s">
        <v>191</v>
      </c>
      <c r="F13" s="3" t="s">
        <v>35</v>
      </c>
      <c r="G13" s="3" t="s">
        <v>10</v>
      </c>
      <c r="H13" s="31">
        <v>2140000</v>
      </c>
      <c r="I13" s="31">
        <f t="shared" si="14"/>
        <v>0</v>
      </c>
      <c r="J13" s="33">
        <f t="shared" si="15"/>
        <v>2853333.34</v>
      </c>
      <c r="K13" s="32">
        <v>2140000</v>
      </c>
      <c r="L13" s="33">
        <f t="shared" si="16"/>
        <v>713333.34</v>
      </c>
      <c r="M13" s="33"/>
      <c r="N13" s="33">
        <v>0</v>
      </c>
      <c r="O13" s="33">
        <v>0</v>
      </c>
      <c r="P13" s="33">
        <v>1000000</v>
      </c>
      <c r="Q13" s="33">
        <v>0</v>
      </c>
      <c r="R13" s="33">
        <v>0</v>
      </c>
      <c r="S13" s="33">
        <v>0</v>
      </c>
      <c r="T13" s="33">
        <v>1853333.34</v>
      </c>
      <c r="U13" s="31">
        <f t="shared" si="17"/>
        <v>0</v>
      </c>
      <c r="V13" s="33"/>
    </row>
    <row r="14" spans="1:32" s="29" customFormat="1" ht="36" customHeight="1" x14ac:dyDescent="0.2">
      <c r="A14" s="26"/>
      <c r="B14" s="26" t="s">
        <v>69</v>
      </c>
      <c r="C14" s="26" t="s">
        <v>26</v>
      </c>
      <c r="D14" s="26" t="s">
        <v>1</v>
      </c>
      <c r="E14" s="26"/>
      <c r="F14" s="26"/>
      <c r="G14" s="26"/>
      <c r="H14" s="27">
        <f>SUM(H15:H16)</f>
        <v>8194000</v>
      </c>
      <c r="I14" s="28">
        <f>+K14-H14</f>
        <v>3000000</v>
      </c>
      <c r="J14" s="27">
        <f>SUM(J15:J16)</f>
        <v>14925333.34</v>
      </c>
      <c r="K14" s="27">
        <f t="shared" ref="K14:Q14" si="18">SUM(K15:K16)</f>
        <v>11194000</v>
      </c>
      <c r="L14" s="27">
        <f t="shared" si="18"/>
        <v>3731333.34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0</v>
      </c>
      <c r="R14" s="27">
        <f>SUM(R15:R16)</f>
        <v>14925333.34</v>
      </c>
      <c r="S14" s="27">
        <f t="shared" ref="S14:T14" si="19">SUM(S15:S16)</f>
        <v>0</v>
      </c>
      <c r="T14" s="27">
        <f t="shared" si="19"/>
        <v>0</v>
      </c>
      <c r="U14" s="28">
        <f t="shared" ref="U14" si="20">SUM(U15:U16)</f>
        <v>0</v>
      </c>
      <c r="V14" s="27"/>
      <c r="AA14" s="35"/>
    </row>
    <row r="15" spans="1:32" s="29" customFormat="1" ht="24" x14ac:dyDescent="0.2">
      <c r="A15" s="3">
        <v>6</v>
      </c>
      <c r="B15" s="3" t="s">
        <v>70</v>
      </c>
      <c r="C15" s="3" t="s">
        <v>27</v>
      </c>
      <c r="D15" s="3" t="s">
        <v>2</v>
      </c>
      <c r="E15" s="3" t="s">
        <v>192</v>
      </c>
      <c r="F15" s="3" t="s">
        <v>35</v>
      </c>
      <c r="G15" s="3" t="s">
        <v>10</v>
      </c>
      <c r="H15" s="31">
        <v>6375000</v>
      </c>
      <c r="I15" s="31">
        <f t="shared" si="14"/>
        <v>3000000</v>
      </c>
      <c r="J15" s="33">
        <f t="shared" ref="J15:J16" si="21">+K15+L15</f>
        <v>12500000</v>
      </c>
      <c r="K15" s="32">
        <f>6375000+3000000</f>
        <v>9375000</v>
      </c>
      <c r="L15" s="33">
        <f t="shared" ref="L15" si="22">ROUNDUP(K15/3,2)</f>
        <v>3125000</v>
      </c>
      <c r="M15" s="33"/>
      <c r="N15" s="32">
        <v>0</v>
      </c>
      <c r="O15" s="32">
        <v>0</v>
      </c>
      <c r="P15" s="32">
        <v>0</v>
      </c>
      <c r="Q15" s="32">
        <v>0</v>
      </c>
      <c r="R15" s="32">
        <v>12500000</v>
      </c>
      <c r="S15" s="32">
        <v>0</v>
      </c>
      <c r="T15" s="32">
        <v>0</v>
      </c>
      <c r="U15" s="31">
        <f t="shared" ref="U15:U16" si="23">+J15-N15-O15-P15-Q15-R15-S15-T15</f>
        <v>0</v>
      </c>
      <c r="V15" s="33"/>
      <c r="X15" s="37"/>
      <c r="AA15" s="35"/>
    </row>
    <row r="16" spans="1:32" s="29" customFormat="1" ht="24" x14ac:dyDescent="0.2">
      <c r="A16" s="3">
        <v>7</v>
      </c>
      <c r="B16" s="3" t="s">
        <v>114</v>
      </c>
      <c r="C16" s="3" t="s">
        <v>28</v>
      </c>
      <c r="D16" s="3" t="s">
        <v>2</v>
      </c>
      <c r="E16" s="3" t="s">
        <v>193</v>
      </c>
      <c r="F16" s="3" t="s">
        <v>35</v>
      </c>
      <c r="G16" s="3" t="s">
        <v>10</v>
      </c>
      <c r="H16" s="31">
        <v>1819000</v>
      </c>
      <c r="I16" s="31">
        <f t="shared" si="14"/>
        <v>0</v>
      </c>
      <c r="J16" s="33">
        <f t="shared" si="21"/>
        <v>2425333.34</v>
      </c>
      <c r="K16" s="32">
        <v>1819000</v>
      </c>
      <c r="L16" s="33">
        <f>ROUNDUP(K16/3,2)</f>
        <v>606333.34</v>
      </c>
      <c r="M16" s="33"/>
      <c r="N16" s="32">
        <v>0</v>
      </c>
      <c r="O16" s="32">
        <v>0</v>
      </c>
      <c r="P16" s="32">
        <v>0</v>
      </c>
      <c r="Q16" s="32">
        <v>0</v>
      </c>
      <c r="R16" s="32">
        <v>2425333.34</v>
      </c>
      <c r="S16" s="32">
        <v>0</v>
      </c>
      <c r="T16" s="32">
        <v>0</v>
      </c>
      <c r="U16" s="31">
        <f t="shared" si="23"/>
        <v>0</v>
      </c>
      <c r="V16" s="33"/>
      <c r="X16" s="35"/>
      <c r="Z16" s="35"/>
    </row>
    <row r="17" spans="1:27" s="29" customFormat="1" ht="36" x14ac:dyDescent="0.2">
      <c r="A17" s="26"/>
      <c r="B17" s="26" t="s">
        <v>71</v>
      </c>
      <c r="C17" s="26" t="s">
        <v>29</v>
      </c>
      <c r="D17" s="26" t="s">
        <v>1</v>
      </c>
      <c r="E17" s="26"/>
      <c r="F17" s="26"/>
      <c r="G17" s="26"/>
      <c r="H17" s="27">
        <f>SUM(H18:H21)</f>
        <v>1170000</v>
      </c>
      <c r="I17" s="28">
        <f>+K17-H17</f>
        <v>10371651.949999999</v>
      </c>
      <c r="J17" s="27">
        <f>SUM(J18:J23)</f>
        <v>15388869.279999999</v>
      </c>
      <c r="K17" s="27">
        <f>SUM(K18:K23)</f>
        <v>11541651.949999999</v>
      </c>
      <c r="L17" s="27">
        <f t="shared" ref="L17:T17" si="24">SUM(L18:L23)</f>
        <v>3847217.33</v>
      </c>
      <c r="M17" s="27">
        <f t="shared" si="24"/>
        <v>0</v>
      </c>
      <c r="N17" s="27">
        <f t="shared" si="24"/>
        <v>13960.849999999999</v>
      </c>
      <c r="O17" s="27">
        <f t="shared" si="24"/>
        <v>68865.039999999994</v>
      </c>
      <c r="P17" s="27">
        <f t="shared" si="24"/>
        <v>173333.33000000002</v>
      </c>
      <c r="Q17" s="27">
        <f t="shared" si="24"/>
        <v>954170.03</v>
      </c>
      <c r="R17" s="27">
        <f t="shared" si="24"/>
        <v>3363142.92</v>
      </c>
      <c r="S17" s="27">
        <f t="shared" si="24"/>
        <v>5871666.6699999999</v>
      </c>
      <c r="T17" s="27">
        <f t="shared" si="24"/>
        <v>4943730.4399999995</v>
      </c>
      <c r="U17" s="28">
        <f t="shared" ref="U17" si="25">SUM(U18:U21)</f>
        <v>0</v>
      </c>
      <c r="V17" s="27"/>
      <c r="X17" s="35"/>
    </row>
    <row r="18" spans="1:27" s="29" customFormat="1" ht="60" x14ac:dyDescent="0.2">
      <c r="A18" s="3">
        <v>8</v>
      </c>
      <c r="B18" s="3" t="s">
        <v>72</v>
      </c>
      <c r="C18" s="3" t="s">
        <v>30</v>
      </c>
      <c r="D18" s="3" t="s">
        <v>2</v>
      </c>
      <c r="E18" s="3" t="s">
        <v>194</v>
      </c>
      <c r="F18" s="3" t="s">
        <v>36</v>
      </c>
      <c r="G18" s="3" t="s">
        <v>10</v>
      </c>
      <c r="H18" s="31">
        <v>722250</v>
      </c>
      <c r="I18" s="31">
        <f t="shared" si="14"/>
        <v>0</v>
      </c>
      <c r="J18" s="33">
        <f>+K18+L18</f>
        <v>963000</v>
      </c>
      <c r="K18" s="33">
        <v>722250</v>
      </c>
      <c r="L18" s="33">
        <f>ROUNDUP(K18/3,2)</f>
        <v>240750</v>
      </c>
      <c r="M18" s="33"/>
      <c r="N18" s="33">
        <v>0</v>
      </c>
      <c r="O18" s="33">
        <v>28196.639999999999</v>
      </c>
      <c r="P18" s="33">
        <v>0</v>
      </c>
      <c r="Q18" s="33">
        <v>466503.36</v>
      </c>
      <c r="R18" s="33">
        <v>468300</v>
      </c>
      <c r="S18" s="33">
        <v>0</v>
      </c>
      <c r="T18" s="33">
        <v>0</v>
      </c>
      <c r="U18" s="31">
        <f t="shared" ref="U18:U22" si="26">+J18-N18-O18-P18-Q18-R18-S18-T18</f>
        <v>0</v>
      </c>
      <c r="V18" s="70"/>
    </row>
    <row r="19" spans="1:27" s="29" customFormat="1" ht="36" x14ac:dyDescent="0.2">
      <c r="A19" s="3">
        <v>9</v>
      </c>
      <c r="B19" s="3" t="s">
        <v>73</v>
      </c>
      <c r="C19" s="3" t="s">
        <v>31</v>
      </c>
      <c r="D19" s="3" t="s">
        <v>2</v>
      </c>
      <c r="E19" s="3" t="s">
        <v>195</v>
      </c>
      <c r="F19" s="3" t="s">
        <v>35</v>
      </c>
      <c r="G19" s="3" t="s">
        <v>10</v>
      </c>
      <c r="H19" s="31">
        <v>100000</v>
      </c>
      <c r="I19" s="31">
        <f t="shared" si="14"/>
        <v>0</v>
      </c>
      <c r="J19" s="33">
        <f t="shared" ref="J19:J21" si="27">+K19+L19</f>
        <v>133333.34</v>
      </c>
      <c r="K19" s="32">
        <v>100000</v>
      </c>
      <c r="L19" s="33">
        <f t="shared" ref="L19:L23" si="28">ROUNDUP(K19/3,2)</f>
        <v>33333.340000000004</v>
      </c>
      <c r="M19" s="33"/>
      <c r="N19" s="33">
        <v>1912.12</v>
      </c>
      <c r="O19" s="33">
        <v>8911.64</v>
      </c>
      <c r="P19" s="33">
        <v>83333.33</v>
      </c>
      <c r="Q19" s="33">
        <v>16000</v>
      </c>
      <c r="R19" s="33">
        <v>23176.25</v>
      </c>
      <c r="S19" s="33">
        <v>0</v>
      </c>
      <c r="T19" s="33">
        <v>0</v>
      </c>
      <c r="U19" s="31">
        <f t="shared" si="26"/>
        <v>0</v>
      </c>
      <c r="V19" s="33"/>
    </row>
    <row r="20" spans="1:27" s="29" customFormat="1" ht="36" x14ac:dyDescent="0.2">
      <c r="A20" s="3">
        <v>10</v>
      </c>
      <c r="B20" s="3" t="s">
        <v>74</v>
      </c>
      <c r="C20" s="3" t="s">
        <v>32</v>
      </c>
      <c r="D20" s="3" t="s">
        <v>2</v>
      </c>
      <c r="E20" s="3" t="s">
        <v>196</v>
      </c>
      <c r="F20" s="3" t="s">
        <v>170</v>
      </c>
      <c r="G20" s="3" t="s">
        <v>10</v>
      </c>
      <c r="H20" s="31">
        <v>267500</v>
      </c>
      <c r="I20" s="31">
        <f t="shared" si="14"/>
        <v>0</v>
      </c>
      <c r="J20" s="33">
        <f t="shared" si="27"/>
        <v>356666.67</v>
      </c>
      <c r="K20" s="32">
        <v>267500</v>
      </c>
      <c r="L20" s="33">
        <f t="shared" si="28"/>
        <v>89166.67</v>
      </c>
      <c r="M20" s="33"/>
      <c r="N20" s="33">
        <v>12048.73</v>
      </c>
      <c r="O20" s="33">
        <v>31756.76</v>
      </c>
      <c r="P20" s="33">
        <v>50000</v>
      </c>
      <c r="Q20" s="33">
        <v>71666.67</v>
      </c>
      <c r="R20" s="33">
        <v>71666.67</v>
      </c>
      <c r="S20" s="33">
        <v>71666.67</v>
      </c>
      <c r="T20" s="33">
        <v>47861.17</v>
      </c>
      <c r="U20" s="31">
        <f t="shared" si="26"/>
        <v>0</v>
      </c>
      <c r="V20" s="33"/>
    </row>
    <row r="21" spans="1:27" s="29" customFormat="1" ht="36" x14ac:dyDescent="0.2">
      <c r="A21" s="3">
        <v>11</v>
      </c>
      <c r="B21" s="3" t="s">
        <v>75</v>
      </c>
      <c r="C21" s="3" t="s">
        <v>33</v>
      </c>
      <c r="D21" s="3" t="s">
        <v>2</v>
      </c>
      <c r="E21" s="3" t="s">
        <v>197</v>
      </c>
      <c r="F21" s="3" t="s">
        <v>34</v>
      </c>
      <c r="G21" s="3" t="s">
        <v>10</v>
      </c>
      <c r="H21" s="31">
        <v>80250</v>
      </c>
      <c r="I21" s="31">
        <f t="shared" si="14"/>
        <v>-5250</v>
      </c>
      <c r="J21" s="33">
        <f t="shared" si="27"/>
        <v>100000</v>
      </c>
      <c r="K21" s="32">
        <v>75000</v>
      </c>
      <c r="L21" s="33">
        <f t="shared" si="28"/>
        <v>25000</v>
      </c>
      <c r="M21" s="33"/>
      <c r="N21" s="33">
        <v>0</v>
      </c>
      <c r="O21" s="33">
        <v>0</v>
      </c>
      <c r="P21" s="33">
        <v>0</v>
      </c>
      <c r="Q21" s="33">
        <v>0</v>
      </c>
      <c r="R21" s="33">
        <v>100000</v>
      </c>
      <c r="S21" s="33">
        <v>0</v>
      </c>
      <c r="T21" s="33">
        <v>0</v>
      </c>
      <c r="U21" s="31">
        <f t="shared" si="26"/>
        <v>0</v>
      </c>
      <c r="V21" s="33"/>
    </row>
    <row r="22" spans="1:27" s="29" customFormat="1" ht="30.75" customHeight="1" x14ac:dyDescent="0.2">
      <c r="A22" s="3">
        <v>12</v>
      </c>
      <c r="B22" s="3" t="s">
        <v>240</v>
      </c>
      <c r="C22" s="3" t="s">
        <v>237</v>
      </c>
      <c r="D22" s="3" t="s">
        <v>2</v>
      </c>
      <c r="E22" s="3"/>
      <c r="F22" s="3" t="s">
        <v>35</v>
      </c>
      <c r="G22" s="3" t="s">
        <v>10</v>
      </c>
      <c r="H22" s="33"/>
      <c r="I22" s="31"/>
      <c r="J22" s="33">
        <f>+K22+L22</f>
        <v>4000000</v>
      </c>
      <c r="K22" s="33">
        <v>3000000</v>
      </c>
      <c r="L22" s="33">
        <f>+K22/3</f>
        <v>1000000</v>
      </c>
      <c r="M22" s="33"/>
      <c r="N22" s="33">
        <v>0</v>
      </c>
      <c r="O22" s="33">
        <v>0</v>
      </c>
      <c r="P22" s="33">
        <v>0</v>
      </c>
      <c r="Q22" s="42">
        <v>100000</v>
      </c>
      <c r="R22" s="42">
        <v>1200000</v>
      </c>
      <c r="S22" s="42">
        <v>1300000</v>
      </c>
      <c r="T22" s="42">
        <v>1400000</v>
      </c>
      <c r="U22" s="31">
        <f t="shared" si="26"/>
        <v>0</v>
      </c>
      <c r="V22" s="33"/>
    </row>
    <row r="23" spans="1:27" s="67" customFormat="1" ht="96" x14ac:dyDescent="0.2">
      <c r="A23" s="63">
        <v>13</v>
      </c>
      <c r="B23" s="63" t="s">
        <v>241</v>
      </c>
      <c r="C23" s="63" t="s">
        <v>251</v>
      </c>
      <c r="D23" s="63" t="s">
        <v>2</v>
      </c>
      <c r="E23" s="3" t="s">
        <v>221</v>
      </c>
      <c r="F23" s="3" t="s">
        <v>35</v>
      </c>
      <c r="G23" s="63" t="s">
        <v>10</v>
      </c>
      <c r="H23" s="33">
        <v>15611248.331000004</v>
      </c>
      <c r="I23" s="31">
        <f t="shared" si="14"/>
        <v>-8234346.3810000038</v>
      </c>
      <c r="J23" s="64">
        <f>+L23+K23</f>
        <v>9835869.2699999996</v>
      </c>
      <c r="K23" s="64">
        <f>6705000+671901.95</f>
        <v>7376901.9500000002</v>
      </c>
      <c r="L23" s="64">
        <f t="shared" si="28"/>
        <v>2458967.3199999998</v>
      </c>
      <c r="M23" s="64"/>
      <c r="N23" s="64">
        <v>0</v>
      </c>
      <c r="O23" s="64">
        <v>0</v>
      </c>
      <c r="P23" s="64">
        <v>40000</v>
      </c>
      <c r="Q23" s="74">
        <v>300000</v>
      </c>
      <c r="R23" s="64">
        <v>1500000</v>
      </c>
      <c r="S23" s="64">
        <v>4500000</v>
      </c>
      <c r="T23" s="64">
        <v>3495869.27</v>
      </c>
      <c r="U23" s="61">
        <f>+J23-N23-O23-P23-Q23-R23-S23-T23</f>
        <v>0</v>
      </c>
      <c r="V23" s="64"/>
      <c r="W23" s="67">
        <v>300000</v>
      </c>
      <c r="X23" s="67">
        <v>2769294</v>
      </c>
      <c r="Y23" s="68">
        <f>W23-Q23</f>
        <v>0</v>
      </c>
    </row>
    <row r="24" spans="1:27" s="29" customFormat="1" x14ac:dyDescent="0.2">
      <c r="A24" s="26"/>
      <c r="B24" s="26" t="s">
        <v>76</v>
      </c>
      <c r="C24" s="26" t="s">
        <v>40</v>
      </c>
      <c r="D24" s="26" t="s">
        <v>1</v>
      </c>
      <c r="E24" s="26"/>
      <c r="F24" s="26"/>
      <c r="G24" s="26"/>
      <c r="H24" s="27">
        <f t="shared" ref="H24:U24" si="29">SUM(H25:H25)</f>
        <v>374500</v>
      </c>
      <c r="I24" s="28">
        <f>+K24-H24</f>
        <v>0</v>
      </c>
      <c r="J24" s="27">
        <f t="shared" si="29"/>
        <v>499333.33999999997</v>
      </c>
      <c r="K24" s="27">
        <f t="shared" si="29"/>
        <v>374500</v>
      </c>
      <c r="L24" s="27">
        <f t="shared" si="29"/>
        <v>124833.34</v>
      </c>
      <c r="M24" s="27">
        <f t="shared" si="29"/>
        <v>0</v>
      </c>
      <c r="N24" s="27">
        <f t="shared" si="29"/>
        <v>5467.6</v>
      </c>
      <c r="O24" s="27">
        <f t="shared" si="29"/>
        <v>127642.08</v>
      </c>
      <c r="P24" s="27">
        <f t="shared" si="29"/>
        <v>102000</v>
      </c>
      <c r="Q24" s="27">
        <f t="shared" si="29"/>
        <v>108666.67</v>
      </c>
      <c r="R24" s="27">
        <f t="shared" si="29"/>
        <v>155556.99</v>
      </c>
      <c r="S24" s="27">
        <f t="shared" si="29"/>
        <v>0</v>
      </c>
      <c r="T24" s="27">
        <f t="shared" si="29"/>
        <v>0</v>
      </c>
      <c r="U24" s="28">
        <f t="shared" si="29"/>
        <v>0</v>
      </c>
      <c r="V24" s="27"/>
    </row>
    <row r="25" spans="1:27" s="29" customFormat="1" ht="24" x14ac:dyDescent="0.2">
      <c r="A25" s="3">
        <v>14</v>
      </c>
      <c r="B25" s="3" t="s">
        <v>77</v>
      </c>
      <c r="C25" s="3" t="s">
        <v>41</v>
      </c>
      <c r="D25" s="3" t="s">
        <v>2</v>
      </c>
      <c r="E25" s="3" t="s">
        <v>198</v>
      </c>
      <c r="F25" s="3" t="s">
        <v>35</v>
      </c>
      <c r="G25" s="3" t="s">
        <v>10</v>
      </c>
      <c r="H25" s="31">
        <v>374500</v>
      </c>
      <c r="I25" s="31">
        <f t="shared" si="14"/>
        <v>0</v>
      </c>
      <c r="J25" s="33">
        <f t="shared" ref="J25" si="30">+K25+L25</f>
        <v>499333.33999999997</v>
      </c>
      <c r="K25" s="32">
        <v>374500</v>
      </c>
      <c r="L25" s="33">
        <f t="shared" ref="L25" si="31">ROUNDUP(K25/3,2)</f>
        <v>124833.34</v>
      </c>
      <c r="M25" s="33"/>
      <c r="N25" s="32">
        <v>5467.6</v>
      </c>
      <c r="O25" s="32">
        <v>127642.08</v>
      </c>
      <c r="P25" s="32">
        <v>102000</v>
      </c>
      <c r="Q25" s="32">
        <v>108666.67</v>
      </c>
      <c r="R25" s="32">
        <v>155556.99</v>
      </c>
      <c r="S25" s="32">
        <v>0</v>
      </c>
      <c r="T25" s="32">
        <v>0</v>
      </c>
      <c r="U25" s="31">
        <f>+J25-N25-O25-P25-Q25-R25-S25-T25</f>
        <v>0</v>
      </c>
      <c r="V25" s="33"/>
      <c r="Y25" s="35"/>
    </row>
    <row r="26" spans="1:27" s="29" customFormat="1" x14ac:dyDescent="0.2">
      <c r="A26" s="26"/>
      <c r="B26" s="26" t="s">
        <v>78</v>
      </c>
      <c r="C26" s="26" t="s">
        <v>37</v>
      </c>
      <c r="D26" s="26" t="s">
        <v>1</v>
      </c>
      <c r="E26" s="26"/>
      <c r="F26" s="26"/>
      <c r="G26" s="26"/>
      <c r="H26" s="27">
        <f>SUM(H27:H30)</f>
        <v>5053610</v>
      </c>
      <c r="I26" s="28">
        <f>+K26-H26</f>
        <v>0</v>
      </c>
      <c r="J26" s="27">
        <f>SUM(J27:J30)</f>
        <v>6738146.6799999997</v>
      </c>
      <c r="K26" s="27">
        <f t="shared" ref="K26:R26" si="32">SUM(K27:K30)</f>
        <v>5053610</v>
      </c>
      <c r="L26" s="27">
        <f t="shared" si="32"/>
        <v>1684536.68</v>
      </c>
      <c r="M26" s="27">
        <f t="shared" si="32"/>
        <v>0</v>
      </c>
      <c r="N26" s="27">
        <f t="shared" si="32"/>
        <v>0</v>
      </c>
      <c r="O26" s="27">
        <f t="shared" si="32"/>
        <v>1396.45</v>
      </c>
      <c r="P26" s="27">
        <f t="shared" si="32"/>
        <v>794550.65</v>
      </c>
      <c r="Q26" s="27">
        <f t="shared" si="32"/>
        <v>1732782.69</v>
      </c>
      <c r="R26" s="27">
        <f t="shared" si="32"/>
        <v>3254083.13</v>
      </c>
      <c r="S26" s="27">
        <f t="shared" ref="S26:T26" si="33">SUM(S27:S30)</f>
        <v>748666.24</v>
      </c>
      <c r="T26" s="27">
        <f t="shared" si="33"/>
        <v>206667.51999999999</v>
      </c>
      <c r="U26" s="28">
        <f t="shared" ref="U26" si="34">SUM(U27:U30)</f>
        <v>-2.9103830456733704E-11</v>
      </c>
      <c r="V26" s="27"/>
    </row>
    <row r="27" spans="1:27" s="29" customFormat="1" ht="36" x14ac:dyDescent="0.2">
      <c r="A27" s="3">
        <v>15</v>
      </c>
      <c r="B27" s="3" t="s">
        <v>79</v>
      </c>
      <c r="C27" s="3" t="s">
        <v>38</v>
      </c>
      <c r="D27" s="3" t="s">
        <v>2</v>
      </c>
      <c r="E27" s="3" t="s">
        <v>199</v>
      </c>
      <c r="F27" s="3" t="s">
        <v>36</v>
      </c>
      <c r="G27" s="3" t="s">
        <v>10</v>
      </c>
      <c r="H27" s="31">
        <v>1934560</v>
      </c>
      <c r="I27" s="31">
        <f t="shared" si="14"/>
        <v>0</v>
      </c>
      <c r="J27" s="33">
        <f>+K27+L27</f>
        <v>2579413.34</v>
      </c>
      <c r="K27" s="32">
        <v>1934560</v>
      </c>
      <c r="L27" s="33">
        <f>ROUNDUP(K27/3,2)</f>
        <v>644853.34</v>
      </c>
      <c r="M27" s="33"/>
      <c r="N27" s="33">
        <v>0</v>
      </c>
      <c r="O27" s="33">
        <v>1396.45</v>
      </c>
      <c r="P27" s="33">
        <v>365333.34</v>
      </c>
      <c r="Q27" s="33">
        <v>752000</v>
      </c>
      <c r="R27" s="33">
        <v>927349.79</v>
      </c>
      <c r="S27" s="33">
        <v>326666.23999999999</v>
      </c>
      <c r="T27" s="33">
        <v>206667.51999999999</v>
      </c>
      <c r="U27" s="31">
        <f t="shared" ref="U27:U30" si="35">+J27-N27-O27-P27-Q27-R27-S27-T27</f>
        <v>0</v>
      </c>
      <c r="V27" s="33"/>
      <c r="Y27" s="35"/>
    </row>
    <row r="28" spans="1:27" s="29" customFormat="1" ht="36" x14ac:dyDescent="0.2">
      <c r="A28" s="3">
        <v>16</v>
      </c>
      <c r="B28" s="3" t="s">
        <v>80</v>
      </c>
      <c r="C28" s="3" t="s">
        <v>43</v>
      </c>
      <c r="D28" s="3" t="s">
        <v>2</v>
      </c>
      <c r="E28" s="3" t="s">
        <v>200</v>
      </c>
      <c r="F28" s="3" t="s">
        <v>36</v>
      </c>
      <c r="G28" s="3" t="s">
        <v>10</v>
      </c>
      <c r="H28" s="31">
        <v>2220250</v>
      </c>
      <c r="I28" s="31">
        <f t="shared" si="14"/>
        <v>0</v>
      </c>
      <c r="J28" s="33">
        <f>+K28+L28</f>
        <v>2960333.34</v>
      </c>
      <c r="K28" s="33">
        <v>2220250</v>
      </c>
      <c r="L28" s="33">
        <f>ROUNDUP(K28/3,2)</f>
        <v>740083.34</v>
      </c>
      <c r="M28" s="33"/>
      <c r="N28" s="33">
        <v>0</v>
      </c>
      <c r="O28" s="33">
        <v>0</v>
      </c>
      <c r="P28" s="33">
        <v>229217.31</v>
      </c>
      <c r="Q28" s="33">
        <v>717449.36</v>
      </c>
      <c r="R28" s="33">
        <v>1781666.67</v>
      </c>
      <c r="S28" s="33">
        <v>232000</v>
      </c>
      <c r="T28" s="33">
        <v>0</v>
      </c>
      <c r="U28" s="31">
        <f t="shared" si="35"/>
        <v>0</v>
      </c>
      <c r="V28" s="71"/>
      <c r="X28" s="38"/>
      <c r="Y28" s="35"/>
    </row>
    <row r="29" spans="1:27" s="29" customFormat="1" ht="96" x14ac:dyDescent="0.2">
      <c r="A29" s="3">
        <v>17</v>
      </c>
      <c r="B29" s="3" t="s">
        <v>81</v>
      </c>
      <c r="C29" s="3" t="s">
        <v>39</v>
      </c>
      <c r="D29" s="3" t="s">
        <v>2</v>
      </c>
      <c r="E29" s="3" t="s">
        <v>201</v>
      </c>
      <c r="F29" s="3" t="s">
        <v>36</v>
      </c>
      <c r="G29" s="3" t="s">
        <v>10</v>
      </c>
      <c r="H29" s="31">
        <v>577800</v>
      </c>
      <c r="I29" s="31">
        <f t="shared" si="14"/>
        <v>0</v>
      </c>
      <c r="J29" s="33">
        <f>+K29+L29</f>
        <v>770400</v>
      </c>
      <c r="K29" s="33">
        <v>577800</v>
      </c>
      <c r="L29" s="33">
        <f>ROUNDUP(K29/3,2)</f>
        <v>192600</v>
      </c>
      <c r="M29" s="33"/>
      <c r="N29" s="33">
        <v>0</v>
      </c>
      <c r="O29" s="33">
        <v>0</v>
      </c>
      <c r="P29" s="33">
        <v>0</v>
      </c>
      <c r="Q29" s="33">
        <v>200000</v>
      </c>
      <c r="R29" s="33">
        <v>380400</v>
      </c>
      <c r="S29" s="33">
        <v>190000</v>
      </c>
      <c r="T29" s="33">
        <v>0</v>
      </c>
      <c r="U29" s="31">
        <f t="shared" si="35"/>
        <v>0</v>
      </c>
      <c r="V29" s="33"/>
      <c r="Y29" s="35"/>
    </row>
    <row r="30" spans="1:27" s="29" customFormat="1" ht="24" x14ac:dyDescent="0.2">
      <c r="A30" s="3">
        <v>18</v>
      </c>
      <c r="B30" s="3" t="s">
        <v>82</v>
      </c>
      <c r="C30" s="3" t="s">
        <v>42</v>
      </c>
      <c r="D30" s="3" t="s">
        <v>2</v>
      </c>
      <c r="E30" s="3" t="s">
        <v>202</v>
      </c>
      <c r="F30" s="3" t="s">
        <v>35</v>
      </c>
      <c r="G30" s="3" t="s">
        <v>10</v>
      </c>
      <c r="H30" s="31">
        <v>321000</v>
      </c>
      <c r="I30" s="31">
        <f t="shared" si="14"/>
        <v>0</v>
      </c>
      <c r="J30" s="33">
        <f>+K30+L30</f>
        <v>428000</v>
      </c>
      <c r="K30" s="33">
        <v>321000</v>
      </c>
      <c r="L30" s="33">
        <f>ROUNDUP(K30/3,2)</f>
        <v>107000</v>
      </c>
      <c r="M30" s="33"/>
      <c r="N30" s="33">
        <v>0</v>
      </c>
      <c r="O30" s="33">
        <v>0</v>
      </c>
      <c r="P30" s="33">
        <v>200000</v>
      </c>
      <c r="Q30" s="33">
        <v>63333.33</v>
      </c>
      <c r="R30" s="33">
        <v>164666.67000000001</v>
      </c>
      <c r="S30" s="33">
        <v>0</v>
      </c>
      <c r="T30" s="33">
        <v>0</v>
      </c>
      <c r="U30" s="31">
        <f t="shared" si="35"/>
        <v>-2.9103830456733704E-11</v>
      </c>
      <c r="V30" s="72"/>
      <c r="W30" s="65">
        <v>85333</v>
      </c>
      <c r="Y30" s="35">
        <f t="shared" ref="Y30" si="36">W30-Q30</f>
        <v>21999.67</v>
      </c>
      <c r="Z30" s="29">
        <f>Y30*0.75</f>
        <v>16499.752499999999</v>
      </c>
      <c r="AA30" s="35">
        <f>Y30-Z30</f>
        <v>5499.9174999999996</v>
      </c>
    </row>
    <row r="31" spans="1:27" s="29" customFormat="1" x14ac:dyDescent="0.2">
      <c r="A31" s="26"/>
      <c r="B31" s="26" t="s">
        <v>83</v>
      </c>
      <c r="C31" s="26" t="s">
        <v>44</v>
      </c>
      <c r="D31" s="26" t="s">
        <v>1</v>
      </c>
      <c r="E31" s="26"/>
      <c r="F31" s="26"/>
      <c r="G31" s="26"/>
      <c r="H31" s="27">
        <f>SUM(H32:H32)</f>
        <v>1192515</v>
      </c>
      <c r="I31" s="28">
        <f>+K31-H31</f>
        <v>1912500</v>
      </c>
      <c r="J31" s="27">
        <f>+J32+J33</f>
        <v>4140020</v>
      </c>
      <c r="K31" s="27">
        <f t="shared" ref="K31:T31" si="37">+K32+K33</f>
        <v>3105015</v>
      </c>
      <c r="L31" s="27">
        <f t="shared" si="37"/>
        <v>1035005</v>
      </c>
      <c r="M31" s="27">
        <f t="shared" si="37"/>
        <v>0</v>
      </c>
      <c r="N31" s="27">
        <f t="shared" si="37"/>
        <v>0</v>
      </c>
      <c r="O31" s="27">
        <f t="shared" si="37"/>
        <v>182306.97</v>
      </c>
      <c r="P31" s="27">
        <f t="shared" si="37"/>
        <v>533333.32999999996</v>
      </c>
      <c r="Q31" s="27">
        <f t="shared" si="37"/>
        <v>2883333.33</v>
      </c>
      <c r="R31" s="27">
        <f t="shared" si="37"/>
        <v>541046.37</v>
      </c>
      <c r="S31" s="27">
        <f t="shared" si="37"/>
        <v>0</v>
      </c>
      <c r="T31" s="27">
        <f t="shared" si="37"/>
        <v>0</v>
      </c>
      <c r="U31" s="28">
        <f t="shared" ref="U31" si="38">SUM(U32:U32)</f>
        <v>1.1641532182693481E-10</v>
      </c>
      <c r="V31" s="27"/>
    </row>
    <row r="32" spans="1:27" s="29" customFormat="1" ht="36" x14ac:dyDescent="0.2">
      <c r="A32" s="3">
        <v>19</v>
      </c>
      <c r="B32" s="3" t="s">
        <v>84</v>
      </c>
      <c r="C32" s="3" t="s">
        <v>169</v>
      </c>
      <c r="D32" s="73"/>
      <c r="E32" s="3" t="s">
        <v>203</v>
      </c>
      <c r="F32" s="3" t="s">
        <v>36</v>
      </c>
      <c r="G32" s="3" t="s">
        <v>10</v>
      </c>
      <c r="H32" s="31">
        <v>1192515</v>
      </c>
      <c r="I32" s="31">
        <f t="shared" si="14"/>
        <v>0</v>
      </c>
      <c r="J32" s="33">
        <f>+K32+L32</f>
        <v>1590020</v>
      </c>
      <c r="K32" s="33">
        <v>1192515</v>
      </c>
      <c r="L32" s="33">
        <f>ROUNDUP(K32/3,2)</f>
        <v>397505</v>
      </c>
      <c r="M32" s="33"/>
      <c r="N32" s="33">
        <v>0</v>
      </c>
      <c r="O32" s="33">
        <v>182306.97</v>
      </c>
      <c r="P32" s="33">
        <v>533333.32999999996</v>
      </c>
      <c r="Q32" s="33">
        <v>333333.33</v>
      </c>
      <c r="R32" s="33">
        <v>541046.37</v>
      </c>
      <c r="S32" s="33">
        <v>0</v>
      </c>
      <c r="T32" s="33">
        <v>0</v>
      </c>
      <c r="U32" s="31">
        <f>+J32-N32-O32-P32-Q32-R32-S32-T32</f>
        <v>1.1641532182693481E-10</v>
      </c>
      <c r="V32" s="33"/>
      <c r="W32" s="29">
        <v>300000</v>
      </c>
      <c r="Y32" s="35">
        <f>W32-Q32</f>
        <v>-33333.330000000016</v>
      </c>
      <c r="Z32" s="29">
        <f>Y32*0.75</f>
        <v>-24999.997500000012</v>
      </c>
      <c r="AA32" s="35">
        <f>Y32-Z32</f>
        <v>-8333.3325000000041</v>
      </c>
    </row>
    <row r="33" spans="1:27" s="29" customFormat="1" ht="36" x14ac:dyDescent="0.2">
      <c r="A33" s="3">
        <v>20</v>
      </c>
      <c r="B33" s="3" t="s">
        <v>242</v>
      </c>
      <c r="C33" s="3" t="s">
        <v>234</v>
      </c>
      <c r="D33" s="3" t="s">
        <v>2</v>
      </c>
      <c r="E33" s="3"/>
      <c r="F33" s="3" t="s">
        <v>235</v>
      </c>
      <c r="G33" s="3" t="s">
        <v>10</v>
      </c>
      <c r="H33" s="33"/>
      <c r="I33" s="31"/>
      <c r="J33" s="33">
        <f>+K33+L33</f>
        <v>2550000</v>
      </c>
      <c r="K33" s="33">
        <v>1912500</v>
      </c>
      <c r="L33" s="33">
        <f>ROUNDUP(K33/3,2)</f>
        <v>637500</v>
      </c>
      <c r="M33" s="33"/>
      <c r="N33" s="33">
        <v>0</v>
      </c>
      <c r="O33" s="33">
        <v>0</v>
      </c>
      <c r="P33" s="33">
        <v>0</v>
      </c>
      <c r="Q33" s="33">
        <v>2550000</v>
      </c>
      <c r="R33" s="33">
        <v>0</v>
      </c>
      <c r="S33" s="33">
        <v>0</v>
      </c>
      <c r="T33" s="33">
        <v>0</v>
      </c>
      <c r="U33" s="31">
        <f>+J33-N33-O33-P33-Q33-R33-S33-T33</f>
        <v>0</v>
      </c>
      <c r="V33" s="33"/>
    </row>
    <row r="34" spans="1:27" s="29" customFormat="1" ht="24" x14ac:dyDescent="0.2">
      <c r="A34" s="26"/>
      <c r="B34" s="26" t="s">
        <v>85</v>
      </c>
      <c r="C34" s="26" t="s">
        <v>45</v>
      </c>
      <c r="D34" s="26" t="s">
        <v>1</v>
      </c>
      <c r="E34" s="26"/>
      <c r="F34" s="26"/>
      <c r="G34" s="26"/>
      <c r="H34" s="27">
        <f>+H35+H36</f>
        <v>1007405</v>
      </c>
      <c r="I34" s="28">
        <f>+K34-H34</f>
        <v>0</v>
      </c>
      <c r="J34" s="27">
        <f>+J35+J36</f>
        <v>1343206.67</v>
      </c>
      <c r="K34" s="27">
        <f t="shared" ref="K34:T34" si="39">+K35+K36</f>
        <v>1007405</v>
      </c>
      <c r="L34" s="27">
        <f t="shared" si="39"/>
        <v>335801.67</v>
      </c>
      <c r="M34" s="27">
        <f t="shared" si="39"/>
        <v>0</v>
      </c>
      <c r="N34" s="27">
        <f t="shared" si="39"/>
        <v>0</v>
      </c>
      <c r="O34" s="27">
        <f t="shared" si="39"/>
        <v>0</v>
      </c>
      <c r="P34" s="27">
        <f t="shared" si="39"/>
        <v>200000</v>
      </c>
      <c r="Q34" s="27">
        <f t="shared" si="39"/>
        <v>412000</v>
      </c>
      <c r="R34" s="27">
        <f t="shared" si="39"/>
        <v>720473.33</v>
      </c>
      <c r="S34" s="27">
        <f t="shared" si="39"/>
        <v>5333.33</v>
      </c>
      <c r="T34" s="27">
        <f t="shared" si="39"/>
        <v>5400.01</v>
      </c>
      <c r="U34" s="28">
        <f t="shared" ref="U34" si="40">+U35+U36</f>
        <v>0</v>
      </c>
      <c r="V34" s="27"/>
    </row>
    <row r="35" spans="1:27" s="29" customFormat="1" ht="24" x14ac:dyDescent="0.2">
      <c r="A35" s="3">
        <v>21</v>
      </c>
      <c r="B35" s="3" t="s">
        <v>86</v>
      </c>
      <c r="C35" s="3" t="s">
        <v>46</v>
      </c>
      <c r="D35" s="3" t="s">
        <v>2</v>
      </c>
      <c r="E35" s="3" t="s">
        <v>46</v>
      </c>
      <c r="F35" s="3" t="s">
        <v>36</v>
      </c>
      <c r="G35" s="3" t="s">
        <v>10</v>
      </c>
      <c r="H35" s="31">
        <v>991355</v>
      </c>
      <c r="I35" s="31">
        <f t="shared" si="14"/>
        <v>0</v>
      </c>
      <c r="J35" s="33">
        <f>+K35+L35</f>
        <v>1321806.67</v>
      </c>
      <c r="K35" s="33">
        <v>991355</v>
      </c>
      <c r="L35" s="33">
        <f>ROUNDUP(K35/3,2)</f>
        <v>330451.67</v>
      </c>
      <c r="M35" s="33"/>
      <c r="N35" s="33">
        <v>0</v>
      </c>
      <c r="O35" s="33">
        <v>0</v>
      </c>
      <c r="P35" s="33">
        <v>200000</v>
      </c>
      <c r="Q35" s="33">
        <v>406666.67</v>
      </c>
      <c r="R35" s="33">
        <v>715140</v>
      </c>
      <c r="S35" s="33">
        <v>0</v>
      </c>
      <c r="T35" s="33">
        <v>0</v>
      </c>
      <c r="U35" s="31">
        <f t="shared" ref="U35:U36" si="41">+J35-N35-O35-P35-Q35-R35-S35-T35</f>
        <v>0</v>
      </c>
      <c r="V35" s="33"/>
      <c r="Y35" s="35"/>
    </row>
    <row r="36" spans="1:27" s="29" customFormat="1" ht="36" x14ac:dyDescent="0.2">
      <c r="A36" s="4">
        <v>22</v>
      </c>
      <c r="B36" s="3" t="s">
        <v>172</v>
      </c>
      <c r="C36" s="4" t="s">
        <v>105</v>
      </c>
      <c r="D36" s="4" t="s">
        <v>2</v>
      </c>
      <c r="E36" s="4" t="s">
        <v>204</v>
      </c>
      <c r="F36" s="4" t="s">
        <v>58</v>
      </c>
      <c r="G36" s="4" t="s">
        <v>10</v>
      </c>
      <c r="H36" s="39">
        <v>16050.000000000002</v>
      </c>
      <c r="I36" s="31">
        <f t="shared" si="14"/>
        <v>0</v>
      </c>
      <c r="J36" s="33">
        <f>+K36+L36</f>
        <v>21400</v>
      </c>
      <c r="K36" s="32">
        <v>16050</v>
      </c>
      <c r="L36" s="33">
        <f>ROUNDUP(K36/3,2)</f>
        <v>5350</v>
      </c>
      <c r="M36" s="32"/>
      <c r="N36" s="32">
        <v>0</v>
      </c>
      <c r="O36" s="32">
        <v>0</v>
      </c>
      <c r="P36" s="32">
        <v>0</v>
      </c>
      <c r="Q36" s="32">
        <v>5333.33</v>
      </c>
      <c r="R36" s="32">
        <v>5333.33</v>
      </c>
      <c r="S36" s="32">
        <v>5333.33</v>
      </c>
      <c r="T36" s="32">
        <v>5400.01</v>
      </c>
      <c r="U36" s="31">
        <f t="shared" si="41"/>
        <v>0</v>
      </c>
      <c r="V36" s="33"/>
      <c r="Y36" s="35"/>
    </row>
    <row r="37" spans="1:27" s="29" customFormat="1" x14ac:dyDescent="0.2">
      <c r="A37" s="26"/>
      <c r="B37" s="26" t="s">
        <v>87</v>
      </c>
      <c r="C37" s="26" t="s">
        <v>47</v>
      </c>
      <c r="D37" s="26" t="s">
        <v>1</v>
      </c>
      <c r="E37" s="26"/>
      <c r="F37" s="26"/>
      <c r="G37" s="26"/>
      <c r="H37" s="27">
        <f t="shared" ref="H37:U37" si="42">SUM(H38:H38)</f>
        <v>321000</v>
      </c>
      <c r="I37" s="28">
        <f>+K37-H37</f>
        <v>0</v>
      </c>
      <c r="J37" s="27">
        <f t="shared" si="42"/>
        <v>428000</v>
      </c>
      <c r="K37" s="27">
        <f t="shared" si="42"/>
        <v>321000</v>
      </c>
      <c r="L37" s="27">
        <f t="shared" si="42"/>
        <v>107000</v>
      </c>
      <c r="M37" s="27">
        <f t="shared" si="42"/>
        <v>0</v>
      </c>
      <c r="N37" s="27">
        <f t="shared" si="42"/>
        <v>0</v>
      </c>
      <c r="O37" s="27">
        <f t="shared" si="42"/>
        <v>11542.96</v>
      </c>
      <c r="P37" s="27">
        <f t="shared" si="42"/>
        <v>0</v>
      </c>
      <c r="Q37" s="27">
        <f t="shared" si="42"/>
        <v>416457.04</v>
      </c>
      <c r="R37" s="27">
        <f t="shared" si="42"/>
        <v>0</v>
      </c>
      <c r="S37" s="27">
        <f t="shared" si="42"/>
        <v>0</v>
      </c>
      <c r="T37" s="27">
        <f t="shared" si="42"/>
        <v>0</v>
      </c>
      <c r="U37" s="28">
        <f t="shared" si="42"/>
        <v>0</v>
      </c>
      <c r="V37" s="27"/>
    </row>
    <row r="38" spans="1:27" s="29" customFormat="1" ht="24" x14ac:dyDescent="0.2">
      <c r="A38" s="3">
        <v>23</v>
      </c>
      <c r="B38" s="3" t="s">
        <v>88</v>
      </c>
      <c r="C38" s="3" t="s">
        <v>48</v>
      </c>
      <c r="D38" s="3" t="s">
        <v>2</v>
      </c>
      <c r="E38" s="3" t="s">
        <v>205</v>
      </c>
      <c r="F38" s="3" t="s">
        <v>36</v>
      </c>
      <c r="G38" s="3" t="s">
        <v>10</v>
      </c>
      <c r="H38" s="31">
        <v>321000</v>
      </c>
      <c r="I38" s="31">
        <f t="shared" ref="I38" si="43">+K38-H38</f>
        <v>0</v>
      </c>
      <c r="J38" s="33">
        <f>+K38+L38</f>
        <v>428000</v>
      </c>
      <c r="K38" s="32">
        <v>321000</v>
      </c>
      <c r="L38" s="33">
        <f>ROUNDUP(K38/3,2)</f>
        <v>107000</v>
      </c>
      <c r="M38" s="33"/>
      <c r="N38" s="33">
        <v>0</v>
      </c>
      <c r="O38" s="33">
        <v>11542.96</v>
      </c>
      <c r="P38" s="33">
        <v>0</v>
      </c>
      <c r="Q38" s="33">
        <v>416457.04</v>
      </c>
      <c r="R38" s="33">
        <v>0</v>
      </c>
      <c r="S38" s="33">
        <v>0</v>
      </c>
      <c r="T38" s="33">
        <v>0</v>
      </c>
      <c r="U38" s="31">
        <f>+J38-N38-O38-P38-Q38-R38-S38-T38</f>
        <v>0</v>
      </c>
      <c r="V38" s="33"/>
      <c r="Y38" s="35"/>
    </row>
    <row r="39" spans="1:27" s="29" customFormat="1" x14ac:dyDescent="0.2">
      <c r="A39" s="26"/>
      <c r="B39" s="26" t="s">
        <v>238</v>
      </c>
      <c r="C39" s="26" t="s">
        <v>47</v>
      </c>
      <c r="D39" s="26" t="s">
        <v>1</v>
      </c>
      <c r="E39" s="26"/>
      <c r="F39" s="26"/>
      <c r="G39" s="26"/>
      <c r="H39" s="27">
        <f>SUM(H41:H41)</f>
        <v>10700000</v>
      </c>
      <c r="I39" s="28">
        <f>+K39-H39</f>
        <v>-4700000</v>
      </c>
      <c r="J39" s="27">
        <f>+J40+J41</f>
        <v>8000000</v>
      </c>
      <c r="K39" s="27">
        <f t="shared" ref="K39:T39" si="44">+K40+K41</f>
        <v>6000000</v>
      </c>
      <c r="L39" s="27">
        <f t="shared" si="44"/>
        <v>2000000</v>
      </c>
      <c r="M39" s="27">
        <f t="shared" si="44"/>
        <v>0</v>
      </c>
      <c r="N39" s="27">
        <f t="shared" si="44"/>
        <v>0</v>
      </c>
      <c r="O39" s="27">
        <f t="shared" si="44"/>
        <v>0</v>
      </c>
      <c r="P39" s="27">
        <f t="shared" si="44"/>
        <v>0</v>
      </c>
      <c r="Q39" s="27">
        <f t="shared" si="44"/>
        <v>0</v>
      </c>
      <c r="R39" s="27">
        <f t="shared" si="44"/>
        <v>3000000</v>
      </c>
      <c r="S39" s="27">
        <f t="shared" si="44"/>
        <v>2500000</v>
      </c>
      <c r="T39" s="27">
        <f t="shared" si="44"/>
        <v>2500000</v>
      </c>
      <c r="U39" s="28">
        <f t="shared" ref="U39" si="45">SUM(U41:U41)</f>
        <v>0</v>
      </c>
      <c r="V39" s="27"/>
    </row>
    <row r="40" spans="1:27" s="29" customFormat="1" ht="36" x14ac:dyDescent="0.2">
      <c r="A40" s="63">
        <v>24</v>
      </c>
      <c r="B40" s="63" t="s">
        <v>243</v>
      </c>
      <c r="C40" s="63" t="s">
        <v>226</v>
      </c>
      <c r="D40" s="63"/>
      <c r="E40" s="2" t="s">
        <v>225</v>
      </c>
      <c r="F40" s="63" t="s">
        <v>36</v>
      </c>
      <c r="G40" s="63" t="s">
        <v>10</v>
      </c>
      <c r="H40" s="47">
        <v>10700000</v>
      </c>
      <c r="I40" s="52">
        <f>+K40-H40</f>
        <v>-5075000</v>
      </c>
      <c r="J40" s="64">
        <f>+K40+L40</f>
        <v>7500000</v>
      </c>
      <c r="K40" s="64">
        <v>5625000</v>
      </c>
      <c r="L40" s="64">
        <f>ROUNDUP(K40/3,2)</f>
        <v>1875000</v>
      </c>
      <c r="M40" s="64"/>
      <c r="N40" s="64">
        <v>0</v>
      </c>
      <c r="O40" s="64">
        <v>0</v>
      </c>
      <c r="P40" s="64">
        <v>0</v>
      </c>
      <c r="Q40" s="64">
        <v>0</v>
      </c>
      <c r="R40" s="64">
        <v>2500000</v>
      </c>
      <c r="S40" s="64">
        <v>2500000</v>
      </c>
      <c r="T40" s="64">
        <v>2500000</v>
      </c>
      <c r="U40" s="61">
        <f t="shared" ref="U40:U41" si="46">+J40-N40-O40-P40-Q40-R40-S40-T40</f>
        <v>0</v>
      </c>
      <c r="V40" s="64"/>
      <c r="W40" s="67">
        <f>Z40+AA40</f>
        <v>1244438.33</v>
      </c>
      <c r="Y40" s="35">
        <f t="shared" ref="Y40" si="47">W40-Q40</f>
        <v>1244438.33</v>
      </c>
      <c r="Z40" s="66">
        <f>3975167-2612735.67-225000</f>
        <v>1137431.33</v>
      </c>
      <c r="AA40" s="29">
        <f>690007-508000-75000</f>
        <v>107007</v>
      </c>
    </row>
    <row r="41" spans="1:27" s="29" customFormat="1" ht="24" x14ac:dyDescent="0.2">
      <c r="A41" s="3">
        <v>25</v>
      </c>
      <c r="B41" s="3" t="s">
        <v>244</v>
      </c>
      <c r="C41" s="3" t="s">
        <v>236</v>
      </c>
      <c r="D41" s="3"/>
      <c r="E41" s="2"/>
      <c r="F41" s="3" t="s">
        <v>36</v>
      </c>
      <c r="G41" s="3" t="s">
        <v>10</v>
      </c>
      <c r="H41" s="47">
        <v>10700000</v>
      </c>
      <c r="I41" s="52">
        <f>+K41-H41</f>
        <v>-10325000</v>
      </c>
      <c r="J41" s="33">
        <f>+K41+L41</f>
        <v>500000</v>
      </c>
      <c r="K41" s="33">
        <v>375000</v>
      </c>
      <c r="L41" s="33">
        <f>ROUNDUP(K41/3,2)</f>
        <v>125000</v>
      </c>
      <c r="M41" s="33"/>
      <c r="N41" s="33">
        <v>0</v>
      </c>
      <c r="O41" s="33">
        <v>0</v>
      </c>
      <c r="P41" s="33">
        <v>0</v>
      </c>
      <c r="Q41" s="33">
        <v>0</v>
      </c>
      <c r="R41" s="33">
        <v>500000</v>
      </c>
      <c r="S41" s="33">
        <v>0</v>
      </c>
      <c r="T41" s="33">
        <v>0</v>
      </c>
      <c r="U41" s="31">
        <f t="shared" si="46"/>
        <v>0</v>
      </c>
      <c r="V41" s="33"/>
      <c r="Y41" s="35"/>
    </row>
    <row r="42" spans="1:27" s="29" customFormat="1" ht="24" x14ac:dyDescent="0.2">
      <c r="A42" s="26"/>
      <c r="B42" s="26" t="s">
        <v>89</v>
      </c>
      <c r="C42" s="26" t="s">
        <v>49</v>
      </c>
      <c r="D42" s="26" t="s">
        <v>1</v>
      </c>
      <c r="E42" s="26"/>
      <c r="F42" s="26"/>
      <c r="G42" s="26"/>
      <c r="H42" s="27">
        <f t="shared" ref="H42:U42" si="48">SUM(H43:H43)</f>
        <v>107000</v>
      </c>
      <c r="I42" s="28">
        <f>+K42-H42</f>
        <v>0</v>
      </c>
      <c r="J42" s="27">
        <f t="shared" si="48"/>
        <v>142666.67000000001</v>
      </c>
      <c r="K42" s="27">
        <f t="shared" si="48"/>
        <v>107000</v>
      </c>
      <c r="L42" s="27">
        <f t="shared" si="48"/>
        <v>35666.670000000006</v>
      </c>
      <c r="M42" s="27">
        <f t="shared" si="48"/>
        <v>0</v>
      </c>
      <c r="N42" s="27">
        <f t="shared" si="48"/>
        <v>0</v>
      </c>
      <c r="O42" s="27">
        <f t="shared" si="48"/>
        <v>0</v>
      </c>
      <c r="P42" s="27">
        <f t="shared" si="48"/>
        <v>0</v>
      </c>
      <c r="Q42" s="27">
        <f t="shared" si="48"/>
        <v>53333.34</v>
      </c>
      <c r="R42" s="27">
        <f t="shared" si="48"/>
        <v>89333.33</v>
      </c>
      <c r="S42" s="27">
        <f t="shared" si="48"/>
        <v>0</v>
      </c>
      <c r="T42" s="27">
        <f t="shared" si="48"/>
        <v>0</v>
      </c>
      <c r="U42" s="28">
        <f t="shared" si="48"/>
        <v>1.4551915228366852E-11</v>
      </c>
      <c r="V42" s="27"/>
    </row>
    <row r="43" spans="1:27" s="29" customFormat="1" ht="36" x14ac:dyDescent="0.2">
      <c r="A43" s="3">
        <v>26</v>
      </c>
      <c r="B43" s="3" t="s">
        <v>90</v>
      </c>
      <c r="C43" s="3" t="s">
        <v>50</v>
      </c>
      <c r="D43" s="3" t="s">
        <v>2</v>
      </c>
      <c r="E43" s="3" t="s">
        <v>206</v>
      </c>
      <c r="F43" s="3" t="s">
        <v>36</v>
      </c>
      <c r="G43" s="3" t="s">
        <v>10</v>
      </c>
      <c r="H43" s="31">
        <v>107000</v>
      </c>
      <c r="I43" s="31">
        <f t="shared" si="14"/>
        <v>0</v>
      </c>
      <c r="J43" s="33">
        <f>+K43+L43</f>
        <v>142666.67000000001</v>
      </c>
      <c r="K43" s="32">
        <v>107000</v>
      </c>
      <c r="L43" s="33">
        <f>ROUNDUP(K43/3,2)</f>
        <v>35666.670000000006</v>
      </c>
      <c r="M43" s="33"/>
      <c r="N43" s="33">
        <v>0</v>
      </c>
      <c r="O43" s="33">
        <v>0</v>
      </c>
      <c r="P43" s="33">
        <v>0</v>
      </c>
      <c r="Q43" s="33">
        <v>53333.34</v>
      </c>
      <c r="R43" s="33">
        <v>89333.33</v>
      </c>
      <c r="S43" s="33">
        <v>0</v>
      </c>
      <c r="T43" s="33">
        <v>0</v>
      </c>
      <c r="U43" s="31">
        <f>+J43-N43-O43-P43-Q43-R43-S43-T43</f>
        <v>1.4551915228366852E-11</v>
      </c>
      <c r="V43" s="33"/>
      <c r="Y43" s="35"/>
    </row>
    <row r="44" spans="1:27" ht="24" x14ac:dyDescent="0.2">
      <c r="A44" s="23"/>
      <c r="B44" s="23" t="s">
        <v>227</v>
      </c>
      <c r="C44" s="23" t="s">
        <v>228</v>
      </c>
      <c r="D44" s="23" t="s">
        <v>15</v>
      </c>
      <c r="E44" s="23"/>
      <c r="F44" s="23"/>
      <c r="G44" s="23"/>
      <c r="H44" s="24" t="e">
        <f>+H45+H47+H49+H52+H58+H60+H65+H69+H71+H73</f>
        <v>#REF!</v>
      </c>
      <c r="I44" s="24" t="e">
        <f t="shared" si="14"/>
        <v>#REF!</v>
      </c>
      <c r="J44" s="25">
        <f>+J45+J47</f>
        <v>10607155.140000001</v>
      </c>
      <c r="K44" s="25">
        <f t="shared" ref="K44:R44" si="49">+K45+K47</f>
        <v>9546439.620000001</v>
      </c>
      <c r="L44" s="25">
        <f t="shared" si="49"/>
        <v>1060715.52</v>
      </c>
      <c r="M44" s="25">
        <f t="shared" si="49"/>
        <v>0</v>
      </c>
      <c r="N44" s="25">
        <f t="shared" si="49"/>
        <v>0</v>
      </c>
      <c r="O44" s="25">
        <f t="shared" si="49"/>
        <v>0</v>
      </c>
      <c r="P44" s="25">
        <f t="shared" si="49"/>
        <v>0</v>
      </c>
      <c r="Q44" s="25">
        <f t="shared" si="49"/>
        <v>2000000</v>
      </c>
      <c r="R44" s="25">
        <f t="shared" si="49"/>
        <v>3000000</v>
      </c>
      <c r="S44" s="25">
        <f t="shared" ref="S44:T44" si="50">+S45+S47</f>
        <v>1000000</v>
      </c>
      <c r="T44" s="25">
        <f t="shared" si="50"/>
        <v>4607155.1400000006</v>
      </c>
      <c r="U44" s="59">
        <f t="shared" ref="U44" si="51">+U45+U47</f>
        <v>0</v>
      </c>
      <c r="V44" s="25"/>
      <c r="X44" s="19"/>
      <c r="Z44" s="19"/>
    </row>
    <row r="45" spans="1:27" s="29" customFormat="1" ht="36" x14ac:dyDescent="0.2">
      <c r="A45" s="26"/>
      <c r="B45" s="26" t="s">
        <v>229</v>
      </c>
      <c r="C45" s="26" t="s">
        <v>29</v>
      </c>
      <c r="D45" s="26" t="s">
        <v>1</v>
      </c>
      <c r="E45" s="26"/>
      <c r="F45" s="26"/>
      <c r="G45" s="26"/>
      <c r="H45" s="27">
        <f>SUM(H46:H46)</f>
        <v>106732.5</v>
      </c>
      <c r="I45" s="28">
        <f t="shared" si="14"/>
        <v>1693267.5</v>
      </c>
      <c r="J45" s="27">
        <f t="shared" ref="J45:U45" si="52">SUM(J46:J46)</f>
        <v>2000000</v>
      </c>
      <c r="K45" s="27">
        <f t="shared" si="52"/>
        <v>1800000</v>
      </c>
      <c r="L45" s="27">
        <f t="shared" si="52"/>
        <v>200000</v>
      </c>
      <c r="M45" s="27">
        <f t="shared" si="52"/>
        <v>0</v>
      </c>
      <c r="N45" s="27">
        <f t="shared" si="52"/>
        <v>0</v>
      </c>
      <c r="O45" s="27">
        <f t="shared" si="52"/>
        <v>0</v>
      </c>
      <c r="P45" s="27">
        <f t="shared" si="52"/>
        <v>0</v>
      </c>
      <c r="Q45" s="27">
        <f t="shared" si="52"/>
        <v>0</v>
      </c>
      <c r="R45" s="27">
        <f t="shared" si="52"/>
        <v>2000000</v>
      </c>
      <c r="S45" s="27">
        <f t="shared" si="52"/>
        <v>0</v>
      </c>
      <c r="T45" s="27">
        <f t="shared" si="52"/>
        <v>0</v>
      </c>
      <c r="U45" s="28">
        <f t="shared" si="52"/>
        <v>0</v>
      </c>
      <c r="V45" s="27"/>
      <c r="X45" s="30"/>
    </row>
    <row r="46" spans="1:27" s="29" customFormat="1" ht="36.6" customHeight="1" x14ac:dyDescent="0.2">
      <c r="A46" s="63">
        <v>27</v>
      </c>
      <c r="B46" s="63" t="s">
        <v>230</v>
      </c>
      <c r="C46" s="63" t="s">
        <v>255</v>
      </c>
      <c r="D46" s="63" t="s">
        <v>2</v>
      </c>
      <c r="E46" s="50"/>
      <c r="F46" s="63" t="s">
        <v>35</v>
      </c>
      <c r="G46" s="63" t="s">
        <v>10</v>
      </c>
      <c r="H46" s="51">
        <v>106732.5</v>
      </c>
      <c r="I46" s="51">
        <f t="shared" si="14"/>
        <v>1693267.5</v>
      </c>
      <c r="J46" s="64">
        <f>+K46+L46</f>
        <v>2000000</v>
      </c>
      <c r="K46" s="64">
        <v>1800000</v>
      </c>
      <c r="L46" s="64">
        <f>ROUNDUP(K46/9,2)</f>
        <v>200000</v>
      </c>
      <c r="M46" s="64"/>
      <c r="N46" s="64">
        <v>0</v>
      </c>
      <c r="O46" s="64">
        <v>0</v>
      </c>
      <c r="P46" s="64">
        <v>0</v>
      </c>
      <c r="Q46" s="64">
        <v>0</v>
      </c>
      <c r="R46" s="64">
        <v>2000000</v>
      </c>
      <c r="S46" s="64">
        <v>0</v>
      </c>
      <c r="T46" s="64">
        <v>0</v>
      </c>
      <c r="U46" s="61">
        <f>+J46-N46-O46-P46-Q46-R46-S46-T46</f>
        <v>0</v>
      </c>
      <c r="V46" s="64"/>
      <c r="W46" s="67"/>
      <c r="X46" s="34"/>
      <c r="Y46" s="35">
        <f>W46-Q46</f>
        <v>0</v>
      </c>
      <c r="Z46" s="35"/>
      <c r="AA46" s="36"/>
    </row>
    <row r="47" spans="1:27" s="29" customFormat="1" ht="48" x14ac:dyDescent="0.2">
      <c r="A47" s="26"/>
      <c r="B47" s="26" t="s">
        <v>231</v>
      </c>
      <c r="C47" s="26" t="s">
        <v>233</v>
      </c>
      <c r="D47" s="26" t="s">
        <v>1</v>
      </c>
      <c r="E47" s="26"/>
      <c r="F47" s="26"/>
      <c r="G47" s="26"/>
      <c r="H47" s="27" t="e">
        <f>+H48+#REF!</f>
        <v>#REF!</v>
      </c>
      <c r="I47" s="28" t="e">
        <f t="shared" si="14"/>
        <v>#REF!</v>
      </c>
      <c r="J47" s="27">
        <f>+J48</f>
        <v>8607155.1400000006</v>
      </c>
      <c r="K47" s="27">
        <f t="shared" ref="K47:U47" si="53">+K48</f>
        <v>7746439.6200000001</v>
      </c>
      <c r="L47" s="27">
        <f t="shared" si="53"/>
        <v>860715.52000000002</v>
      </c>
      <c r="M47" s="27">
        <f t="shared" si="53"/>
        <v>0</v>
      </c>
      <c r="N47" s="27">
        <f t="shared" si="53"/>
        <v>0</v>
      </c>
      <c r="O47" s="27">
        <f t="shared" si="53"/>
        <v>0</v>
      </c>
      <c r="P47" s="27">
        <f t="shared" si="53"/>
        <v>0</v>
      </c>
      <c r="Q47" s="27">
        <f t="shared" si="53"/>
        <v>2000000</v>
      </c>
      <c r="R47" s="27">
        <f t="shared" si="53"/>
        <v>1000000</v>
      </c>
      <c r="S47" s="27">
        <f t="shared" si="53"/>
        <v>1000000</v>
      </c>
      <c r="T47" s="27">
        <f t="shared" si="53"/>
        <v>4607155.1400000006</v>
      </c>
      <c r="U47" s="28">
        <f t="shared" si="53"/>
        <v>0</v>
      </c>
      <c r="V47" s="27"/>
    </row>
    <row r="48" spans="1:27" s="29" customFormat="1" ht="24" x14ac:dyDescent="0.2">
      <c r="A48" s="3">
        <v>28</v>
      </c>
      <c r="B48" s="3" t="s">
        <v>232</v>
      </c>
      <c r="C48" s="3" t="s">
        <v>254</v>
      </c>
      <c r="D48" s="3" t="s">
        <v>2</v>
      </c>
      <c r="E48" s="3"/>
      <c r="F48" s="3" t="s">
        <v>36</v>
      </c>
      <c r="G48" s="3" t="s">
        <v>10</v>
      </c>
      <c r="H48" s="31">
        <v>535000</v>
      </c>
      <c r="I48" s="31">
        <f t="shared" ref="I48" si="54">+K48-H48</f>
        <v>7211439.6200000001</v>
      </c>
      <c r="J48" s="33">
        <f t="shared" ref="J48" si="55">+K48+L48</f>
        <v>8607155.1400000006</v>
      </c>
      <c r="K48" s="33">
        <v>7746439.6200000001</v>
      </c>
      <c r="L48" s="33">
        <f>ROUNDUP(K48/9,2)</f>
        <v>860715.52000000002</v>
      </c>
      <c r="M48" s="33"/>
      <c r="N48" s="33">
        <v>0</v>
      </c>
      <c r="O48" s="33">
        <v>0</v>
      </c>
      <c r="P48" s="33">
        <v>0</v>
      </c>
      <c r="Q48" s="33">
        <v>2000000</v>
      </c>
      <c r="R48" s="33">
        <v>1000000</v>
      </c>
      <c r="S48" s="33">
        <v>1000000</v>
      </c>
      <c r="T48" s="33">
        <f>+J48-Q48-R48-S48</f>
        <v>4607155.1400000006</v>
      </c>
      <c r="U48" s="31">
        <f>+J48-N48-O48-P48-Q48-R48-S48-T48</f>
        <v>0</v>
      </c>
      <c r="V48" s="33"/>
      <c r="W48" s="65">
        <v>2360000</v>
      </c>
      <c r="Y48" s="35">
        <f>W48-Q48</f>
        <v>360000</v>
      </c>
      <c r="Z48" s="29">
        <f>0.9*Y48</f>
        <v>324000</v>
      </c>
      <c r="AA48" s="35">
        <f>Y48-Z48</f>
        <v>36000</v>
      </c>
    </row>
    <row r="49" spans="1:25" ht="24" x14ac:dyDescent="0.2">
      <c r="A49" s="23"/>
      <c r="B49" s="23" t="s">
        <v>91</v>
      </c>
      <c r="C49" s="23" t="s">
        <v>16</v>
      </c>
      <c r="D49" s="23" t="s">
        <v>15</v>
      </c>
      <c r="E49" s="23"/>
      <c r="F49" s="23"/>
      <c r="G49" s="23"/>
      <c r="H49" s="24">
        <f>+H50+H52+H55</f>
        <v>9395000</v>
      </c>
      <c r="I49" s="24">
        <f>+K49-H49</f>
        <v>3857600</v>
      </c>
      <c r="J49" s="25">
        <f>+J50+J52+J55</f>
        <v>14725111.129999999</v>
      </c>
      <c r="K49" s="25">
        <f t="shared" ref="K49:R49" si="56">+K50+K52+K55</f>
        <v>13252600</v>
      </c>
      <c r="L49" s="25">
        <f t="shared" si="56"/>
        <v>1472511.13</v>
      </c>
      <c r="M49" s="25">
        <f t="shared" si="56"/>
        <v>0</v>
      </c>
      <c r="N49" s="25">
        <f t="shared" si="56"/>
        <v>0</v>
      </c>
      <c r="O49" s="25">
        <f t="shared" si="56"/>
        <v>64021.87</v>
      </c>
      <c r="P49" s="25">
        <f t="shared" si="56"/>
        <v>1115911.1200000001</v>
      </c>
      <c r="Q49" s="25">
        <f t="shared" si="56"/>
        <v>2286222.88</v>
      </c>
      <c r="R49" s="25">
        <f t="shared" si="56"/>
        <v>3853402.45</v>
      </c>
      <c r="S49" s="25">
        <f t="shared" ref="S49:T49" si="57">+S50+S52+S55</f>
        <v>3826365.5300000003</v>
      </c>
      <c r="T49" s="25">
        <f t="shared" si="57"/>
        <v>3579187.2800000003</v>
      </c>
      <c r="U49" s="59">
        <f t="shared" ref="U49" si="58">+U50+U52+U55</f>
        <v>-1.1641532182693481E-10</v>
      </c>
      <c r="V49" s="25"/>
      <c r="X49" s="19"/>
      <c r="Y49" s="19"/>
    </row>
    <row r="50" spans="1:25" s="29" customFormat="1" ht="1.5" customHeight="1" x14ac:dyDescent="0.2">
      <c r="A50" s="26"/>
      <c r="B50" s="26" t="s">
        <v>92</v>
      </c>
      <c r="C50" s="26" t="s">
        <v>23</v>
      </c>
      <c r="D50" s="26" t="s">
        <v>1</v>
      </c>
      <c r="E50" s="26"/>
      <c r="F50" s="26"/>
      <c r="G50" s="26"/>
      <c r="H50" s="27">
        <f>+H51</f>
        <v>856000</v>
      </c>
      <c r="I50" s="28">
        <f>+K50-H50</f>
        <v>0</v>
      </c>
      <c r="J50" s="27">
        <f>+J51</f>
        <v>951111.12</v>
      </c>
      <c r="K50" s="27">
        <f t="shared" ref="K50:U50" si="59">+K51</f>
        <v>856000</v>
      </c>
      <c r="L50" s="27">
        <f t="shared" si="59"/>
        <v>95111.12</v>
      </c>
      <c r="M50" s="27">
        <f t="shared" si="59"/>
        <v>0</v>
      </c>
      <c r="N50" s="27">
        <f t="shared" si="59"/>
        <v>0</v>
      </c>
      <c r="O50" s="27">
        <f t="shared" si="59"/>
        <v>0</v>
      </c>
      <c r="P50" s="27">
        <f t="shared" si="59"/>
        <v>111111.12</v>
      </c>
      <c r="Q50" s="27">
        <f t="shared" si="59"/>
        <v>333333.33</v>
      </c>
      <c r="R50" s="27">
        <f t="shared" si="59"/>
        <v>168888.89</v>
      </c>
      <c r="S50" s="27">
        <f t="shared" si="59"/>
        <v>168888.89</v>
      </c>
      <c r="T50" s="27">
        <f t="shared" si="59"/>
        <v>168888.89</v>
      </c>
      <c r="U50" s="28">
        <f t="shared" si="59"/>
        <v>0</v>
      </c>
      <c r="V50" s="27"/>
    </row>
    <row r="51" spans="1:25" s="29" customFormat="1" ht="60" x14ac:dyDescent="0.2">
      <c r="A51" s="3">
        <v>29</v>
      </c>
      <c r="B51" s="3" t="s">
        <v>106</v>
      </c>
      <c r="C51" s="3" t="s">
        <v>55</v>
      </c>
      <c r="D51" s="3" t="s">
        <v>2</v>
      </c>
      <c r="E51" s="3" t="s">
        <v>207</v>
      </c>
      <c r="F51" s="3" t="s">
        <v>53</v>
      </c>
      <c r="G51" s="3" t="s">
        <v>10</v>
      </c>
      <c r="H51" s="31">
        <v>856000</v>
      </c>
      <c r="I51" s="31">
        <f t="shared" ref="I51:I56" si="60">+K51-H51</f>
        <v>0</v>
      </c>
      <c r="J51" s="33">
        <f t="shared" ref="J51" si="61">+K51+L51</f>
        <v>951111.12</v>
      </c>
      <c r="K51" s="33">
        <v>856000</v>
      </c>
      <c r="L51" s="33">
        <f>ROUNDUP(K51/9,2)</f>
        <v>95111.12</v>
      </c>
      <c r="M51" s="33"/>
      <c r="N51" s="33">
        <v>0</v>
      </c>
      <c r="O51" s="33">
        <v>0</v>
      </c>
      <c r="P51" s="33">
        <v>111111.12</v>
      </c>
      <c r="Q51" s="33">
        <v>333333.33</v>
      </c>
      <c r="R51" s="33">
        <v>168888.89</v>
      </c>
      <c r="S51" s="33">
        <v>168888.89</v>
      </c>
      <c r="T51" s="33">
        <v>168888.89</v>
      </c>
      <c r="U51" s="31">
        <f>+J51-N51-O51-P51-Q51-R51-S51-T51</f>
        <v>0</v>
      </c>
      <c r="V51" s="33"/>
      <c r="Y51" s="35"/>
    </row>
    <row r="52" spans="1:25" s="29" customFormat="1" ht="24" x14ac:dyDescent="0.2">
      <c r="A52" s="26"/>
      <c r="B52" s="26" t="s">
        <v>93</v>
      </c>
      <c r="C52" s="26" t="s">
        <v>51</v>
      </c>
      <c r="D52" s="26" t="s">
        <v>1</v>
      </c>
      <c r="E52" s="26"/>
      <c r="F52" s="26"/>
      <c r="G52" s="26"/>
      <c r="H52" s="27">
        <f>+H53+H54</f>
        <v>4601000</v>
      </c>
      <c r="I52" s="28">
        <f>+K52-H52</f>
        <v>0</v>
      </c>
      <c r="J52" s="27">
        <f>+J53+J54</f>
        <v>5112222.2300000004</v>
      </c>
      <c r="K52" s="27">
        <f t="shared" ref="K52:R52" si="62">+K53+K54</f>
        <v>4601000</v>
      </c>
      <c r="L52" s="27">
        <f t="shared" si="62"/>
        <v>511222.23</v>
      </c>
      <c r="M52" s="27">
        <f t="shared" si="62"/>
        <v>0</v>
      </c>
      <c r="N52" s="27">
        <f t="shared" si="62"/>
        <v>0</v>
      </c>
      <c r="O52" s="27">
        <f t="shared" si="62"/>
        <v>33503.800000000003</v>
      </c>
      <c r="P52" s="27">
        <f t="shared" si="62"/>
        <v>200000</v>
      </c>
      <c r="Q52" s="27">
        <f t="shared" si="62"/>
        <v>555555.55000000005</v>
      </c>
      <c r="R52" s="27">
        <f t="shared" si="62"/>
        <v>1437913.4100000001</v>
      </c>
      <c r="S52" s="27">
        <f t="shared" ref="S52:T52" si="63">+S53+S54</f>
        <v>1437913.42</v>
      </c>
      <c r="T52" s="27">
        <f t="shared" si="63"/>
        <v>1447336.0499999998</v>
      </c>
      <c r="U52" s="28">
        <f t="shared" ref="U52" si="64">+U53+U54</f>
        <v>0</v>
      </c>
      <c r="V52" s="27"/>
    </row>
    <row r="53" spans="1:25" s="29" customFormat="1" ht="24" x14ac:dyDescent="0.2">
      <c r="A53" s="3">
        <v>30</v>
      </c>
      <c r="B53" s="3" t="s">
        <v>94</v>
      </c>
      <c r="C53" s="3" t="s">
        <v>52</v>
      </c>
      <c r="D53" s="3" t="s">
        <v>2</v>
      </c>
      <c r="E53" s="3" t="s">
        <v>208</v>
      </c>
      <c r="F53" s="3" t="s">
        <v>53</v>
      </c>
      <c r="G53" s="3" t="s">
        <v>10</v>
      </c>
      <c r="H53" s="31">
        <v>2354000</v>
      </c>
      <c r="I53" s="31">
        <f t="shared" si="60"/>
        <v>0</v>
      </c>
      <c r="J53" s="33">
        <f t="shared" ref="J53:J54" si="65">+K53+L53</f>
        <v>2615555.56</v>
      </c>
      <c r="K53" s="32">
        <v>2354000</v>
      </c>
      <c r="L53" s="33">
        <f>ROUNDUP(K53/9,2)</f>
        <v>261555.56</v>
      </c>
      <c r="M53" s="33"/>
      <c r="N53" s="33">
        <v>0</v>
      </c>
      <c r="O53" s="33">
        <f>8661.29+24842.51</f>
        <v>33503.800000000003</v>
      </c>
      <c r="P53" s="33">
        <v>100000</v>
      </c>
      <c r="Q53" s="33">
        <v>333333.33</v>
      </c>
      <c r="R53" s="33">
        <v>713098.6</v>
      </c>
      <c r="S53" s="33">
        <v>713098.6</v>
      </c>
      <c r="T53" s="33">
        <v>722521.23</v>
      </c>
      <c r="U53" s="31">
        <f t="shared" ref="U53:U54" si="66">+J53-N53-O53-P53-Q53-R53-S53-T53</f>
        <v>0</v>
      </c>
      <c r="V53" s="33"/>
      <c r="Y53" s="35"/>
    </row>
    <row r="54" spans="1:25" s="29" customFormat="1" ht="72" x14ac:dyDescent="0.2">
      <c r="A54" s="3">
        <v>31</v>
      </c>
      <c r="B54" s="3" t="s">
        <v>95</v>
      </c>
      <c r="C54" s="3" t="s">
        <v>54</v>
      </c>
      <c r="D54" s="3" t="s">
        <v>2</v>
      </c>
      <c r="E54" s="3" t="s">
        <v>209</v>
      </c>
      <c r="F54" s="3" t="s">
        <v>53</v>
      </c>
      <c r="G54" s="3" t="s">
        <v>10</v>
      </c>
      <c r="H54" s="31">
        <v>2247000</v>
      </c>
      <c r="I54" s="31">
        <f t="shared" si="60"/>
        <v>0</v>
      </c>
      <c r="J54" s="33">
        <f t="shared" si="65"/>
        <v>2496666.67</v>
      </c>
      <c r="K54" s="32">
        <v>2247000</v>
      </c>
      <c r="L54" s="33">
        <f>ROUNDUP(K54/9,2)</f>
        <v>249666.67</v>
      </c>
      <c r="M54" s="33"/>
      <c r="N54" s="33">
        <v>0</v>
      </c>
      <c r="O54" s="33">
        <v>0</v>
      </c>
      <c r="P54" s="33">
        <v>100000</v>
      </c>
      <c r="Q54" s="33">
        <v>222222.22</v>
      </c>
      <c r="R54" s="33">
        <v>724814.81</v>
      </c>
      <c r="S54" s="33">
        <v>724814.82</v>
      </c>
      <c r="T54" s="33">
        <v>724814.82</v>
      </c>
      <c r="U54" s="31">
        <f t="shared" si="66"/>
        <v>0</v>
      </c>
      <c r="V54" s="33"/>
      <c r="Y54" s="35"/>
    </row>
    <row r="55" spans="1:25" s="29" customFormat="1" ht="24" x14ac:dyDescent="0.2">
      <c r="A55" s="26"/>
      <c r="B55" s="26" t="s">
        <v>96</v>
      </c>
      <c r="C55" s="26" t="s">
        <v>49</v>
      </c>
      <c r="D55" s="26" t="s">
        <v>1</v>
      </c>
      <c r="E55" s="26"/>
      <c r="F55" s="26"/>
      <c r="G55" s="26"/>
      <c r="H55" s="27">
        <f>+H56</f>
        <v>3938000</v>
      </c>
      <c r="I55" s="28">
        <f>+K55-H55</f>
        <v>3857600</v>
      </c>
      <c r="J55" s="27">
        <f>+J57+J56</f>
        <v>8661777.7799999993</v>
      </c>
      <c r="K55" s="27">
        <f t="shared" ref="K55:R55" si="67">+K57+K56</f>
        <v>7795600</v>
      </c>
      <c r="L55" s="27">
        <f t="shared" si="67"/>
        <v>866177.78</v>
      </c>
      <c r="M55" s="27">
        <f t="shared" si="67"/>
        <v>0</v>
      </c>
      <c r="N55" s="27">
        <f t="shared" si="67"/>
        <v>0</v>
      </c>
      <c r="O55" s="27">
        <f t="shared" si="67"/>
        <v>30518.07</v>
      </c>
      <c r="P55" s="27">
        <f t="shared" si="67"/>
        <v>804800</v>
      </c>
      <c r="Q55" s="27">
        <f t="shared" si="67"/>
        <v>1397334</v>
      </c>
      <c r="R55" s="27">
        <f t="shared" si="67"/>
        <v>2246600.15</v>
      </c>
      <c r="S55" s="27">
        <f t="shared" ref="S55:T55" si="68">+S57+S56</f>
        <v>2219563.2200000002</v>
      </c>
      <c r="T55" s="27">
        <f t="shared" si="68"/>
        <v>1962962.34</v>
      </c>
      <c r="U55" s="28">
        <f t="shared" ref="U55" si="69">+U57+U56</f>
        <v>-1.1641532182693481E-10</v>
      </c>
      <c r="V55" s="27"/>
    </row>
    <row r="56" spans="1:25" s="29" customFormat="1" ht="60" x14ac:dyDescent="0.2">
      <c r="A56" s="3">
        <v>32</v>
      </c>
      <c r="B56" s="3" t="s">
        <v>97</v>
      </c>
      <c r="C56" s="3" t="s">
        <v>56</v>
      </c>
      <c r="D56" s="3" t="s">
        <v>2</v>
      </c>
      <c r="E56" s="3" t="s">
        <v>210</v>
      </c>
      <c r="F56" s="3" t="s">
        <v>36</v>
      </c>
      <c r="G56" s="3" t="s">
        <v>10</v>
      </c>
      <c r="H56" s="31">
        <v>3938000</v>
      </c>
      <c r="I56" s="31">
        <f t="shared" si="60"/>
        <v>2787600</v>
      </c>
      <c r="J56" s="33">
        <f t="shared" ref="J56" si="70">+K56+L56</f>
        <v>7472888.8899999997</v>
      </c>
      <c r="K56" s="32">
        <f>4725600+2000000</f>
        <v>6725600</v>
      </c>
      <c r="L56" s="33">
        <f>ROUNDUP(K56/9,2)</f>
        <v>747288.89</v>
      </c>
      <c r="M56" s="33"/>
      <c r="N56" s="33">
        <v>0</v>
      </c>
      <c r="O56" s="33">
        <v>30518.07</v>
      </c>
      <c r="P56" s="33">
        <v>804800</v>
      </c>
      <c r="Q56" s="33">
        <v>864000</v>
      </c>
      <c r="R56" s="33">
        <v>1847646.15</v>
      </c>
      <c r="S56" s="33">
        <v>1962962.33</v>
      </c>
      <c r="T56" s="33">
        <v>1962962.34</v>
      </c>
      <c r="U56" s="31">
        <f>+J56-N56-O56-P56-Q56-R56-S56-T56</f>
        <v>0</v>
      </c>
      <c r="V56" s="33"/>
      <c r="Y56" s="35"/>
    </row>
    <row r="57" spans="1:25" s="29" customFormat="1" ht="36" x14ac:dyDescent="0.2">
      <c r="A57" s="3">
        <v>33</v>
      </c>
      <c r="B57" s="3" t="s">
        <v>245</v>
      </c>
      <c r="C57" s="3" t="s">
        <v>184</v>
      </c>
      <c r="D57" s="3"/>
      <c r="E57" s="3" t="s">
        <v>218</v>
      </c>
      <c r="F57" s="3" t="s">
        <v>36</v>
      </c>
      <c r="G57" s="3" t="s">
        <v>10</v>
      </c>
      <c r="H57" s="33">
        <v>1070000</v>
      </c>
      <c r="I57" s="31">
        <f>+K57-H57</f>
        <v>0</v>
      </c>
      <c r="J57" s="33">
        <f>+K57+L57</f>
        <v>1188888.8899999999</v>
      </c>
      <c r="K57" s="33">
        <v>1070000</v>
      </c>
      <c r="L57" s="33">
        <f>ROUNDUP(K57/9,2)</f>
        <v>118888.89</v>
      </c>
      <c r="M57" s="33"/>
      <c r="N57" s="33">
        <v>0</v>
      </c>
      <c r="O57" s="33">
        <v>0</v>
      </c>
      <c r="P57" s="33">
        <v>0</v>
      </c>
      <c r="Q57" s="42">
        <v>533334</v>
      </c>
      <c r="R57" s="33">
        <v>398954</v>
      </c>
      <c r="S57" s="33">
        <v>256600.89</v>
      </c>
      <c r="T57" s="33">
        <v>0</v>
      </c>
      <c r="U57" s="31">
        <f>+J57-N57-O57-P57-Q57-R57-S57-T57</f>
        <v>-1.1641532182693481E-10</v>
      </c>
      <c r="V57" s="33"/>
      <c r="W57" s="67"/>
      <c r="Y57" s="35"/>
    </row>
    <row r="58" spans="1:25" ht="24" x14ac:dyDescent="0.2">
      <c r="A58" s="23"/>
      <c r="B58" s="23" t="s">
        <v>98</v>
      </c>
      <c r="C58" s="23" t="s">
        <v>112</v>
      </c>
      <c r="D58" s="23" t="s">
        <v>15</v>
      </c>
      <c r="E58" s="23"/>
      <c r="F58" s="23"/>
      <c r="G58" s="23"/>
      <c r="H58" s="24" t="e">
        <f>+H59+H69</f>
        <v>#REF!</v>
      </c>
      <c r="I58" s="24" t="e">
        <f>+K58-H58</f>
        <v>#REF!</v>
      </c>
      <c r="J58" s="25">
        <f t="shared" ref="J58:R58" si="71">+J59+J69</f>
        <v>33525321.07</v>
      </c>
      <c r="K58" s="25">
        <f t="shared" si="71"/>
        <v>33525321.07</v>
      </c>
      <c r="L58" s="25">
        <f t="shared" si="71"/>
        <v>0</v>
      </c>
      <c r="M58" s="25">
        <f t="shared" si="71"/>
        <v>0</v>
      </c>
      <c r="N58" s="25">
        <f t="shared" si="71"/>
        <v>0</v>
      </c>
      <c r="O58" s="25">
        <f t="shared" si="71"/>
        <v>1537689.31</v>
      </c>
      <c r="P58" s="25">
        <f t="shared" si="71"/>
        <v>2129708.48</v>
      </c>
      <c r="Q58" s="25">
        <f t="shared" si="71"/>
        <v>6943962</v>
      </c>
      <c r="R58" s="25">
        <f t="shared" si="71"/>
        <v>8065113.4000000004</v>
      </c>
      <c r="S58" s="25">
        <f t="shared" ref="S58:T58" si="72">+S59+S69</f>
        <v>7805963.4000000004</v>
      </c>
      <c r="T58" s="25">
        <f t="shared" si="72"/>
        <v>7042884.4800000004</v>
      </c>
      <c r="U58" s="59">
        <f t="shared" ref="U58" si="73">+U59+U69</f>
        <v>0</v>
      </c>
      <c r="V58" s="25"/>
    </row>
    <row r="59" spans="1:25" ht="24" x14ac:dyDescent="0.2">
      <c r="A59" s="26"/>
      <c r="B59" s="26" t="s">
        <v>99</v>
      </c>
      <c r="C59" s="26" t="s">
        <v>57</v>
      </c>
      <c r="D59" s="26" t="s">
        <v>1</v>
      </c>
      <c r="E59" s="26"/>
      <c r="F59" s="26"/>
      <c r="G59" s="26"/>
      <c r="H59" s="27">
        <f>+H60+H61+H62+H63+H64+H66</f>
        <v>14039728.16</v>
      </c>
      <c r="I59" s="28">
        <f>+K59-H59</f>
        <v>18950592.91</v>
      </c>
      <c r="J59" s="27">
        <f>+J60+J61+J62+J63+J64+J66+J65+J67+J68</f>
        <v>32990321.07</v>
      </c>
      <c r="K59" s="27">
        <f t="shared" ref="K59:U59" si="74">+K60+K61+K62+K63+K64+K66+K65+K67+K68</f>
        <v>32990321.07</v>
      </c>
      <c r="L59" s="27">
        <f t="shared" si="74"/>
        <v>0</v>
      </c>
      <c r="M59" s="27">
        <f t="shared" si="74"/>
        <v>0</v>
      </c>
      <c r="N59" s="27">
        <f t="shared" si="74"/>
        <v>0</v>
      </c>
      <c r="O59" s="27">
        <f t="shared" si="74"/>
        <v>1537689.31</v>
      </c>
      <c r="P59" s="27">
        <f t="shared" si="74"/>
        <v>2029708.48</v>
      </c>
      <c r="Q59" s="27">
        <f t="shared" si="74"/>
        <v>6843962</v>
      </c>
      <c r="R59" s="27">
        <f t="shared" si="74"/>
        <v>7730113.4000000004</v>
      </c>
      <c r="S59" s="27">
        <f t="shared" si="74"/>
        <v>7805963.4000000004</v>
      </c>
      <c r="T59" s="27">
        <f t="shared" si="74"/>
        <v>7042884.4800000004</v>
      </c>
      <c r="U59" s="27">
        <f t="shared" si="74"/>
        <v>0</v>
      </c>
      <c r="V59" s="27"/>
    </row>
    <row r="60" spans="1:25" s="29" customFormat="1" ht="60" x14ac:dyDescent="0.2">
      <c r="A60" s="4">
        <v>34</v>
      </c>
      <c r="B60" s="3" t="s">
        <v>100</v>
      </c>
      <c r="C60" s="4" t="s">
        <v>222</v>
      </c>
      <c r="D60" s="4" t="s">
        <v>2</v>
      </c>
      <c r="E60" s="4" t="s">
        <v>211</v>
      </c>
      <c r="F60" s="3" t="s">
        <v>36</v>
      </c>
      <c r="G60" s="4" t="s">
        <v>10</v>
      </c>
      <c r="H60" s="39">
        <v>214000</v>
      </c>
      <c r="I60" s="31">
        <f t="shared" ref="I60:I70" si="75">+K60-H60</f>
        <v>100000</v>
      </c>
      <c r="J60" s="33">
        <f t="shared" ref="J60:J64" si="76">+K60+L60</f>
        <v>314000</v>
      </c>
      <c r="K60" s="32">
        <v>314000</v>
      </c>
      <c r="L60" s="33">
        <v>0</v>
      </c>
      <c r="M60" s="32"/>
      <c r="N60" s="32">
        <v>0</v>
      </c>
      <c r="O60" s="32">
        <v>0</v>
      </c>
      <c r="P60" s="32">
        <v>0</v>
      </c>
      <c r="Q60" s="32">
        <v>0</v>
      </c>
      <c r="R60" s="32">
        <v>98000</v>
      </c>
      <c r="S60" s="32">
        <v>147000</v>
      </c>
      <c r="T60" s="32">
        <v>69000</v>
      </c>
      <c r="U60" s="31">
        <f t="shared" ref="U60:U67" si="77">+J60-N60-O60-P60-Q60-R60-S60-T60</f>
        <v>0</v>
      </c>
      <c r="V60" s="33"/>
      <c r="Y60" s="35"/>
    </row>
    <row r="61" spans="1:25" s="29" customFormat="1" ht="48" x14ac:dyDescent="0.2">
      <c r="A61" s="4">
        <v>35</v>
      </c>
      <c r="B61" s="3" t="s">
        <v>101</v>
      </c>
      <c r="C61" s="4" t="s">
        <v>103</v>
      </c>
      <c r="D61" s="4" t="s">
        <v>2</v>
      </c>
      <c r="E61" s="4" t="s">
        <v>212</v>
      </c>
      <c r="F61" s="3" t="s">
        <v>36</v>
      </c>
      <c r="G61" s="4" t="s">
        <v>10</v>
      </c>
      <c r="H61" s="39">
        <v>771778.16</v>
      </c>
      <c r="I61" s="31">
        <f t="shared" si="75"/>
        <v>0</v>
      </c>
      <c r="J61" s="33">
        <f t="shared" si="76"/>
        <v>771778.16</v>
      </c>
      <c r="K61" s="32">
        <v>771778.16</v>
      </c>
      <c r="L61" s="33">
        <v>0</v>
      </c>
      <c r="M61" s="32"/>
      <c r="N61" s="32">
        <v>0</v>
      </c>
      <c r="O61" s="32">
        <v>86964</v>
      </c>
      <c r="P61" s="32">
        <v>103962</v>
      </c>
      <c r="Q61" s="32">
        <v>103962</v>
      </c>
      <c r="R61" s="32">
        <v>158963.4</v>
      </c>
      <c r="S61" s="32">
        <v>158963.4</v>
      </c>
      <c r="T61" s="32">
        <v>158963.35999999999</v>
      </c>
      <c r="U61" s="31">
        <f t="shared" si="77"/>
        <v>0</v>
      </c>
      <c r="V61" s="33"/>
      <c r="Y61" s="35"/>
    </row>
    <row r="62" spans="1:25" s="29" customFormat="1" ht="36" x14ac:dyDescent="0.2">
      <c r="A62" s="4">
        <v>36</v>
      </c>
      <c r="B62" s="3" t="s">
        <v>102</v>
      </c>
      <c r="C62" s="4" t="s">
        <v>104</v>
      </c>
      <c r="D62" s="4" t="s">
        <v>2</v>
      </c>
      <c r="E62" s="4" t="s">
        <v>213</v>
      </c>
      <c r="F62" s="3" t="s">
        <v>36</v>
      </c>
      <c r="G62" s="4" t="s">
        <v>10</v>
      </c>
      <c r="H62" s="39">
        <v>470800</v>
      </c>
      <c r="I62" s="31">
        <f t="shared" si="75"/>
        <v>0</v>
      </c>
      <c r="J62" s="33">
        <f t="shared" si="76"/>
        <v>470800</v>
      </c>
      <c r="K62" s="32">
        <v>470800</v>
      </c>
      <c r="L62" s="33">
        <v>0</v>
      </c>
      <c r="M62" s="32"/>
      <c r="N62" s="32">
        <v>0</v>
      </c>
      <c r="O62" s="32">
        <v>0</v>
      </c>
      <c r="P62" s="32">
        <v>100000</v>
      </c>
      <c r="Q62" s="32">
        <v>100000</v>
      </c>
      <c r="R62" s="32">
        <v>100000</v>
      </c>
      <c r="S62" s="32">
        <v>100000</v>
      </c>
      <c r="T62" s="32">
        <v>70800</v>
      </c>
      <c r="U62" s="31">
        <f t="shared" si="77"/>
        <v>0</v>
      </c>
      <c r="V62" s="33"/>
      <c r="Y62" s="35"/>
    </row>
    <row r="63" spans="1:25" s="29" customFormat="1" ht="80.25" customHeight="1" x14ac:dyDescent="0.2">
      <c r="A63" s="4">
        <v>37</v>
      </c>
      <c r="B63" s="3" t="s">
        <v>171</v>
      </c>
      <c r="C63" s="4" t="s">
        <v>164</v>
      </c>
      <c r="D63" s="4" t="s">
        <v>2</v>
      </c>
      <c r="E63" s="4" t="s">
        <v>214</v>
      </c>
      <c r="F63" s="4" t="s">
        <v>107</v>
      </c>
      <c r="G63" s="4" t="s">
        <v>10</v>
      </c>
      <c r="H63" s="39">
        <v>37450</v>
      </c>
      <c r="I63" s="31">
        <f t="shared" si="75"/>
        <v>0</v>
      </c>
      <c r="J63" s="33">
        <f t="shared" si="76"/>
        <v>37450</v>
      </c>
      <c r="K63" s="32">
        <v>37450</v>
      </c>
      <c r="L63" s="33">
        <v>0</v>
      </c>
      <c r="M63" s="32"/>
      <c r="N63" s="32">
        <v>0</v>
      </c>
      <c r="O63" s="32">
        <v>0</v>
      </c>
      <c r="P63" s="32">
        <v>0</v>
      </c>
      <c r="Q63" s="32">
        <v>20000</v>
      </c>
      <c r="R63" s="32">
        <v>17450</v>
      </c>
      <c r="S63" s="32">
        <v>0</v>
      </c>
      <c r="T63" s="32">
        <v>0</v>
      </c>
      <c r="U63" s="31">
        <f t="shared" si="77"/>
        <v>0</v>
      </c>
      <c r="V63" s="33"/>
      <c r="Y63" s="35"/>
    </row>
    <row r="64" spans="1:25" s="29" customFormat="1" ht="24" x14ac:dyDescent="0.2">
      <c r="A64" s="4">
        <v>38</v>
      </c>
      <c r="B64" s="3" t="s">
        <v>173</v>
      </c>
      <c r="C64" s="4" t="s">
        <v>59</v>
      </c>
      <c r="D64" s="4" t="s">
        <v>2</v>
      </c>
      <c r="E64" s="4" t="s">
        <v>215</v>
      </c>
      <c r="F64" s="3" t="s">
        <v>53</v>
      </c>
      <c r="G64" s="4" t="s">
        <v>10</v>
      </c>
      <c r="H64" s="39">
        <v>12000000</v>
      </c>
      <c r="I64" s="31">
        <f t="shared" si="75"/>
        <v>-1200000</v>
      </c>
      <c r="J64" s="33">
        <f t="shared" si="76"/>
        <v>10800000</v>
      </c>
      <c r="K64" s="32">
        <v>10800000</v>
      </c>
      <c r="L64" s="33">
        <v>0</v>
      </c>
      <c r="M64" s="32"/>
      <c r="N64" s="32">
        <v>0</v>
      </c>
      <c r="O64" s="32">
        <v>1450725.31</v>
      </c>
      <c r="P64" s="32">
        <v>1655746.48</v>
      </c>
      <c r="Q64" s="32">
        <v>1900000</v>
      </c>
      <c r="R64" s="32">
        <v>1900000</v>
      </c>
      <c r="S64" s="32">
        <v>1900000</v>
      </c>
      <c r="T64" s="32">
        <v>1993528.21</v>
      </c>
      <c r="U64" s="31">
        <f t="shared" si="77"/>
        <v>0</v>
      </c>
      <c r="V64" s="33"/>
      <c r="Y64" s="35"/>
    </row>
    <row r="65" spans="1:25" s="29" customFormat="1" ht="24" x14ac:dyDescent="0.2">
      <c r="A65" s="40">
        <v>39</v>
      </c>
      <c r="B65" s="4" t="s">
        <v>179</v>
      </c>
      <c r="C65" s="41" t="s">
        <v>223</v>
      </c>
      <c r="D65" s="40" t="s">
        <v>2</v>
      </c>
      <c r="E65" s="3" t="s">
        <v>53</v>
      </c>
      <c r="F65" s="3" t="s">
        <v>53</v>
      </c>
      <c r="G65" s="4" t="s">
        <v>10</v>
      </c>
      <c r="H65" s="42">
        <v>1100000</v>
      </c>
      <c r="I65" s="42">
        <v>0</v>
      </c>
      <c r="J65" s="33">
        <v>1100000</v>
      </c>
      <c r="K65" s="43">
        <v>1100000</v>
      </c>
      <c r="L65" s="42">
        <v>0</v>
      </c>
      <c r="M65" s="32"/>
      <c r="N65" s="32">
        <v>0</v>
      </c>
      <c r="O65" s="32">
        <v>0</v>
      </c>
      <c r="P65" s="32">
        <v>100000</v>
      </c>
      <c r="Q65" s="32">
        <v>250000</v>
      </c>
      <c r="R65" s="32">
        <v>250000</v>
      </c>
      <c r="S65" s="32">
        <v>250000</v>
      </c>
      <c r="T65" s="32">
        <v>250000</v>
      </c>
      <c r="U65" s="31">
        <f t="shared" si="77"/>
        <v>0</v>
      </c>
      <c r="V65" s="33"/>
      <c r="Y65" s="35"/>
    </row>
    <row r="66" spans="1:25" s="29" customFormat="1" ht="25.5" x14ac:dyDescent="0.2">
      <c r="A66" s="4">
        <v>40</v>
      </c>
      <c r="B66" s="4" t="s">
        <v>224</v>
      </c>
      <c r="C66" s="1" t="s">
        <v>180</v>
      </c>
      <c r="D66" s="4" t="s">
        <v>2</v>
      </c>
      <c r="E66" s="3" t="s">
        <v>36</v>
      </c>
      <c r="F66" s="3" t="s">
        <v>36</v>
      </c>
      <c r="G66" s="4" t="s">
        <v>10</v>
      </c>
      <c r="H66" s="33">
        <v>545700</v>
      </c>
      <c r="I66" s="33">
        <v>0</v>
      </c>
      <c r="J66" s="33">
        <f t="shared" ref="J66" si="78">+K66+L66</f>
        <v>545700</v>
      </c>
      <c r="K66" s="32">
        <v>545700</v>
      </c>
      <c r="L66" s="33">
        <v>0</v>
      </c>
      <c r="M66" s="32"/>
      <c r="N66" s="32">
        <v>0</v>
      </c>
      <c r="O66" s="32">
        <v>0</v>
      </c>
      <c r="P66" s="32">
        <v>70000</v>
      </c>
      <c r="Q66" s="32">
        <v>70000</v>
      </c>
      <c r="R66" s="32">
        <v>105700</v>
      </c>
      <c r="S66" s="32">
        <v>150000</v>
      </c>
      <c r="T66" s="32">
        <v>150000</v>
      </c>
      <c r="U66" s="31">
        <f t="shared" si="77"/>
        <v>0</v>
      </c>
      <c r="V66" s="33"/>
      <c r="Y66" s="35"/>
    </row>
    <row r="67" spans="1:25" s="29" customFormat="1" ht="63" customHeight="1" x14ac:dyDescent="0.2">
      <c r="A67" s="63">
        <v>41</v>
      </c>
      <c r="B67" s="63" t="s">
        <v>246</v>
      </c>
      <c r="C67" s="63" t="s">
        <v>252</v>
      </c>
      <c r="D67" s="63" t="s">
        <v>2</v>
      </c>
      <c r="E67" s="45" t="s">
        <v>220</v>
      </c>
      <c r="F67" s="3" t="s">
        <v>259</v>
      </c>
      <c r="G67" s="63" t="s">
        <v>10</v>
      </c>
      <c r="H67" s="53">
        <v>15611248.331000004</v>
      </c>
      <c r="I67" s="54">
        <f t="shared" ref="I67" si="79">+K67-H67</f>
        <v>-11511248.331000004</v>
      </c>
      <c r="J67" s="64">
        <v>4100000</v>
      </c>
      <c r="K67" s="64">
        <v>4100000</v>
      </c>
      <c r="L67" s="64">
        <v>0</v>
      </c>
      <c r="M67" s="64"/>
      <c r="N67" s="64">
        <v>0</v>
      </c>
      <c r="O67" s="64">
        <v>0</v>
      </c>
      <c r="P67" s="64">
        <v>0</v>
      </c>
      <c r="Q67" s="64">
        <v>500000</v>
      </c>
      <c r="R67" s="64">
        <v>1200000</v>
      </c>
      <c r="S67" s="64">
        <v>1200000</v>
      </c>
      <c r="T67" s="64">
        <v>1200000</v>
      </c>
      <c r="U67" s="61">
        <f t="shared" si="77"/>
        <v>0</v>
      </c>
      <c r="V67" s="64"/>
      <c r="W67" s="67">
        <v>500000</v>
      </c>
      <c r="Y67" s="35">
        <f>W67-Q67</f>
        <v>0</v>
      </c>
    </row>
    <row r="68" spans="1:25" s="29" customFormat="1" ht="43.5" customHeight="1" x14ac:dyDescent="0.2">
      <c r="A68" s="63">
        <v>42</v>
      </c>
      <c r="B68" s="63" t="s">
        <v>247</v>
      </c>
      <c r="C68" s="63" t="s">
        <v>253</v>
      </c>
      <c r="D68" s="63" t="s">
        <v>2</v>
      </c>
      <c r="E68" s="45" t="s">
        <v>220</v>
      </c>
      <c r="F68" s="3" t="s">
        <v>260</v>
      </c>
      <c r="G68" s="63" t="s">
        <v>10</v>
      </c>
      <c r="H68" s="53">
        <v>15611248.331000004</v>
      </c>
      <c r="I68" s="54">
        <f t="shared" ref="I68" si="80">+K68-H68</f>
        <v>-760655.42100000381</v>
      </c>
      <c r="J68" s="64">
        <v>14850592.91</v>
      </c>
      <c r="K68" s="64">
        <v>14850592.91</v>
      </c>
      <c r="L68" s="64">
        <v>0</v>
      </c>
      <c r="M68" s="64"/>
      <c r="N68" s="64">
        <v>0</v>
      </c>
      <c r="O68" s="64">
        <v>0</v>
      </c>
      <c r="P68" s="64">
        <v>0</v>
      </c>
      <c r="Q68" s="64">
        <v>3900000</v>
      </c>
      <c r="R68" s="64">
        <v>3900000</v>
      </c>
      <c r="S68" s="64">
        <v>3900000</v>
      </c>
      <c r="T68" s="64">
        <v>3150592.91</v>
      </c>
      <c r="U68" s="61">
        <f t="shared" ref="U68" si="81">+J68-N68-O68-P68-Q68-R68-S68-T68</f>
        <v>0</v>
      </c>
      <c r="V68" s="64"/>
      <c r="W68" s="67">
        <v>3900000</v>
      </c>
      <c r="Y68" s="35">
        <f>W68-Q68</f>
        <v>0</v>
      </c>
    </row>
    <row r="69" spans="1:25" s="29" customFormat="1" ht="36" x14ac:dyDescent="0.2">
      <c r="A69" s="26"/>
      <c r="B69" s="26" t="s">
        <v>109</v>
      </c>
      <c r="C69" s="26" t="s">
        <v>108</v>
      </c>
      <c r="D69" s="26" t="s">
        <v>1</v>
      </c>
      <c r="E69" s="26"/>
      <c r="F69" s="26"/>
      <c r="G69" s="26"/>
      <c r="H69" s="27" t="e">
        <f>+#REF!+H70</f>
        <v>#REF!</v>
      </c>
      <c r="I69" s="28" t="e">
        <f>+K69-H69</f>
        <v>#REF!</v>
      </c>
      <c r="J69" s="27">
        <f>+J70</f>
        <v>535000</v>
      </c>
      <c r="K69" s="27">
        <f t="shared" ref="K69:U69" si="82">+K70</f>
        <v>535000</v>
      </c>
      <c r="L69" s="27">
        <f t="shared" si="82"/>
        <v>0</v>
      </c>
      <c r="M69" s="27">
        <f t="shared" si="82"/>
        <v>0</v>
      </c>
      <c r="N69" s="27">
        <f t="shared" si="82"/>
        <v>0</v>
      </c>
      <c r="O69" s="27">
        <f t="shared" si="82"/>
        <v>0</v>
      </c>
      <c r="P69" s="27">
        <f t="shared" si="82"/>
        <v>100000</v>
      </c>
      <c r="Q69" s="27">
        <f t="shared" si="82"/>
        <v>100000</v>
      </c>
      <c r="R69" s="27">
        <f t="shared" si="82"/>
        <v>335000</v>
      </c>
      <c r="S69" s="27">
        <f t="shared" si="82"/>
        <v>0</v>
      </c>
      <c r="T69" s="27">
        <f t="shared" si="82"/>
        <v>0</v>
      </c>
      <c r="U69" s="27">
        <f t="shared" si="82"/>
        <v>0</v>
      </c>
      <c r="V69" s="27"/>
    </row>
    <row r="70" spans="1:25" s="29" customFormat="1" ht="72" x14ac:dyDescent="0.2">
      <c r="A70" s="3">
        <v>43</v>
      </c>
      <c r="B70" s="3" t="s">
        <v>110</v>
      </c>
      <c r="C70" s="3" t="s">
        <v>111</v>
      </c>
      <c r="D70" s="3" t="s">
        <v>2</v>
      </c>
      <c r="E70" s="3" t="s">
        <v>216</v>
      </c>
      <c r="F70" s="3" t="s">
        <v>36</v>
      </c>
      <c r="G70" s="3" t="s">
        <v>10</v>
      </c>
      <c r="H70" s="31">
        <v>535000</v>
      </c>
      <c r="I70" s="31">
        <f t="shared" si="75"/>
        <v>0</v>
      </c>
      <c r="J70" s="33">
        <f t="shared" ref="J70" si="83">+K70+L70</f>
        <v>535000</v>
      </c>
      <c r="K70" s="32">
        <v>535000</v>
      </c>
      <c r="L70" s="33">
        <v>0</v>
      </c>
      <c r="M70" s="33"/>
      <c r="N70" s="33">
        <v>0</v>
      </c>
      <c r="O70" s="33">
        <v>0</v>
      </c>
      <c r="P70" s="33">
        <v>100000</v>
      </c>
      <c r="Q70" s="33">
        <v>100000</v>
      </c>
      <c r="R70" s="33">
        <v>335000</v>
      </c>
      <c r="S70" s="33">
        <v>0</v>
      </c>
      <c r="T70" s="33">
        <v>0</v>
      </c>
      <c r="U70" s="31">
        <f t="shared" ref="U70" si="84">+J70-N70-O70-P70-Q70-R70-S70-T70</f>
        <v>0</v>
      </c>
      <c r="V70" s="33"/>
      <c r="Y70" s="35"/>
    </row>
    <row r="71" spans="1:25" ht="24" x14ac:dyDescent="0.2">
      <c r="A71" s="23"/>
      <c r="B71" s="23" t="s">
        <v>160</v>
      </c>
      <c r="C71" s="23" t="s">
        <v>163</v>
      </c>
      <c r="D71" s="23" t="s">
        <v>15</v>
      </c>
      <c r="E71" s="23"/>
      <c r="F71" s="23"/>
      <c r="G71" s="23"/>
      <c r="H71" s="24">
        <f>+H72</f>
        <v>1044587.5</v>
      </c>
      <c r="I71" s="24">
        <f>+K71-H71</f>
        <v>0</v>
      </c>
      <c r="J71" s="25">
        <f>+J72</f>
        <v>1044587.5</v>
      </c>
      <c r="K71" s="25">
        <f t="shared" ref="K71:U71" si="85">+K72</f>
        <v>1044587.5</v>
      </c>
      <c r="L71" s="25">
        <f t="shared" si="85"/>
        <v>0</v>
      </c>
      <c r="M71" s="25">
        <f t="shared" si="85"/>
        <v>0</v>
      </c>
      <c r="N71" s="25">
        <f t="shared" si="85"/>
        <v>0</v>
      </c>
      <c r="O71" s="25">
        <f t="shared" si="85"/>
        <v>0</v>
      </c>
      <c r="P71" s="25">
        <f t="shared" si="85"/>
        <v>0</v>
      </c>
      <c r="Q71" s="25">
        <f t="shared" si="85"/>
        <v>247250</v>
      </c>
      <c r="R71" s="25">
        <f t="shared" si="85"/>
        <v>281537.7</v>
      </c>
      <c r="S71" s="25">
        <f t="shared" si="85"/>
        <v>262000</v>
      </c>
      <c r="T71" s="25">
        <f t="shared" si="85"/>
        <v>253799.8</v>
      </c>
      <c r="U71" s="59">
        <f t="shared" si="85"/>
        <v>0</v>
      </c>
      <c r="V71" s="25"/>
    </row>
    <row r="72" spans="1:25" s="29" customFormat="1" ht="24" x14ac:dyDescent="0.2">
      <c r="A72" s="26"/>
      <c r="B72" s="26" t="s">
        <v>161</v>
      </c>
      <c r="C72" s="26" t="s">
        <v>113</v>
      </c>
      <c r="D72" s="26" t="s">
        <v>1</v>
      </c>
      <c r="E72" s="26"/>
      <c r="F72" s="26"/>
      <c r="G72" s="26"/>
      <c r="H72" s="27">
        <f>+H73+H74</f>
        <v>1044587.5</v>
      </c>
      <c r="I72" s="28">
        <f>+K72-H72</f>
        <v>0</v>
      </c>
      <c r="J72" s="27">
        <f>+J73+J74</f>
        <v>1044587.5</v>
      </c>
      <c r="K72" s="27">
        <f t="shared" ref="K72:R72" si="86">+K73+K74</f>
        <v>1044587.5</v>
      </c>
      <c r="L72" s="27">
        <f t="shared" si="86"/>
        <v>0</v>
      </c>
      <c r="M72" s="27">
        <f t="shared" si="86"/>
        <v>0</v>
      </c>
      <c r="N72" s="27">
        <f t="shared" si="86"/>
        <v>0</v>
      </c>
      <c r="O72" s="27">
        <f t="shared" si="86"/>
        <v>0</v>
      </c>
      <c r="P72" s="27">
        <f t="shared" si="86"/>
        <v>0</v>
      </c>
      <c r="Q72" s="27">
        <f t="shared" si="86"/>
        <v>247250</v>
      </c>
      <c r="R72" s="27">
        <f t="shared" si="86"/>
        <v>281537.7</v>
      </c>
      <c r="S72" s="27">
        <f t="shared" ref="S72:T72" si="87">+S73+S74</f>
        <v>262000</v>
      </c>
      <c r="T72" s="27">
        <f t="shared" si="87"/>
        <v>253799.8</v>
      </c>
      <c r="U72" s="28">
        <f t="shared" ref="U72" si="88">+U73+U74</f>
        <v>0</v>
      </c>
      <c r="V72" s="27"/>
    </row>
    <row r="73" spans="1:25" s="29" customFormat="1" ht="24" x14ac:dyDescent="0.2">
      <c r="A73" s="3">
        <v>44</v>
      </c>
      <c r="B73" s="3" t="s">
        <v>162</v>
      </c>
      <c r="C73" s="3" t="s">
        <v>168</v>
      </c>
      <c r="D73" s="3" t="s">
        <v>2</v>
      </c>
      <c r="E73" s="3" t="s">
        <v>217</v>
      </c>
      <c r="F73" s="3" t="s">
        <v>36</v>
      </c>
      <c r="G73" s="3" t="s">
        <v>10</v>
      </c>
      <c r="H73" s="31">
        <v>252787.50000000003</v>
      </c>
      <c r="I73" s="31">
        <f t="shared" ref="I73:I74" si="89">+K73-H73</f>
        <v>0</v>
      </c>
      <c r="J73" s="33">
        <f>+K73</f>
        <v>252787.5</v>
      </c>
      <c r="K73" s="32">
        <v>252787.5</v>
      </c>
      <c r="L73" s="33">
        <v>0</v>
      </c>
      <c r="M73" s="33"/>
      <c r="N73" s="33">
        <v>0</v>
      </c>
      <c r="O73" s="33">
        <v>0</v>
      </c>
      <c r="P73" s="33">
        <v>0</v>
      </c>
      <c r="Q73" s="33">
        <v>47250</v>
      </c>
      <c r="R73" s="33">
        <v>81537.7</v>
      </c>
      <c r="S73" s="33">
        <v>62000</v>
      </c>
      <c r="T73" s="33">
        <v>61999.8</v>
      </c>
      <c r="U73" s="31">
        <f t="shared" ref="U73:U74" si="90">+J73-N73-O73-P73-Q73-R73-S73-T73</f>
        <v>0</v>
      </c>
      <c r="V73" s="33"/>
      <c r="Y73" s="35"/>
    </row>
    <row r="74" spans="1:25" s="29" customFormat="1" ht="24" x14ac:dyDescent="0.2">
      <c r="A74" s="4">
        <v>45</v>
      </c>
      <c r="B74" s="3" t="s">
        <v>165</v>
      </c>
      <c r="C74" s="3" t="s">
        <v>166</v>
      </c>
      <c r="D74" s="4" t="s">
        <v>2</v>
      </c>
      <c r="E74" s="4"/>
      <c r="F74" s="3" t="s">
        <v>58</v>
      </c>
      <c r="G74" s="4" t="s">
        <v>10</v>
      </c>
      <c r="H74" s="39">
        <v>791800</v>
      </c>
      <c r="I74" s="31">
        <f t="shared" si="89"/>
        <v>0</v>
      </c>
      <c r="J74" s="33">
        <f>+K74</f>
        <v>791800</v>
      </c>
      <c r="K74" s="32">
        <v>791800</v>
      </c>
      <c r="L74" s="33">
        <v>0</v>
      </c>
      <c r="M74" s="32"/>
      <c r="N74" s="32">
        <v>0</v>
      </c>
      <c r="O74" s="32">
        <v>0</v>
      </c>
      <c r="P74" s="32">
        <v>0</v>
      </c>
      <c r="Q74" s="32">
        <v>200000</v>
      </c>
      <c r="R74" s="32">
        <v>200000</v>
      </c>
      <c r="S74" s="32">
        <v>200000</v>
      </c>
      <c r="T74" s="32">
        <v>191800</v>
      </c>
      <c r="U74" s="31">
        <f t="shared" si="90"/>
        <v>0</v>
      </c>
      <c r="V74" s="33"/>
      <c r="Y74" s="35"/>
    </row>
    <row r="75" spans="1:25" ht="24" x14ac:dyDescent="0.2">
      <c r="A75" s="20"/>
      <c r="B75" s="20" t="s">
        <v>115</v>
      </c>
      <c r="C75" s="20" t="s">
        <v>116</v>
      </c>
      <c r="D75" s="20" t="s">
        <v>0</v>
      </c>
      <c r="E75" s="20"/>
      <c r="F75" s="20"/>
      <c r="G75" s="20"/>
      <c r="H75" s="21" t="e">
        <f>+H76+H93+#REF!+#REF!</f>
        <v>#REF!</v>
      </c>
      <c r="I75" s="22" t="e">
        <f>+K75-H75</f>
        <v>#REF!</v>
      </c>
      <c r="J75" s="21">
        <f t="shared" ref="J75:T75" si="91">+J76+J93</f>
        <v>22466666.689999998</v>
      </c>
      <c r="K75" s="21">
        <f t="shared" si="91"/>
        <v>18225000</v>
      </c>
      <c r="L75" s="21">
        <f t="shared" si="91"/>
        <v>4241666.6899999995</v>
      </c>
      <c r="M75" s="21">
        <f t="shared" si="91"/>
        <v>0</v>
      </c>
      <c r="N75" s="21">
        <f t="shared" si="91"/>
        <v>835587.99369999999</v>
      </c>
      <c r="O75" s="21">
        <f t="shared" si="91"/>
        <v>1900473.6486</v>
      </c>
      <c r="P75" s="21">
        <f t="shared" si="91"/>
        <v>2801338.16</v>
      </c>
      <c r="Q75" s="21">
        <f t="shared" si="91"/>
        <v>4209747.34</v>
      </c>
      <c r="R75" s="21">
        <f t="shared" si="91"/>
        <v>4622796.57</v>
      </c>
      <c r="S75" s="21">
        <f t="shared" si="91"/>
        <v>4395000</v>
      </c>
      <c r="T75" s="21">
        <f t="shared" si="91"/>
        <v>3701722.9799999995</v>
      </c>
      <c r="U75" s="58">
        <f t="shared" ref="U75" si="92">+U76+U93</f>
        <v>-2.3000000255706254E-3</v>
      </c>
      <c r="V75" s="21"/>
      <c r="X75" s="55"/>
    </row>
    <row r="76" spans="1:25" ht="24" x14ac:dyDescent="0.2">
      <c r="A76" s="23"/>
      <c r="B76" s="23" t="s">
        <v>118</v>
      </c>
      <c r="C76" s="23" t="s">
        <v>17</v>
      </c>
      <c r="D76" s="23" t="s">
        <v>15</v>
      </c>
      <c r="E76" s="23"/>
      <c r="F76" s="23"/>
      <c r="G76" s="23"/>
      <c r="H76" s="24">
        <f>+H77+H81+H83+H85+H87</f>
        <v>10275000</v>
      </c>
      <c r="I76" s="24">
        <f>+K76-H76</f>
        <v>2450000</v>
      </c>
      <c r="J76" s="25">
        <f t="shared" ref="J76:T76" si="93">+J77+J81+J83+J85+J87</f>
        <v>16966666.689999998</v>
      </c>
      <c r="K76" s="25">
        <f t="shared" si="93"/>
        <v>12725000</v>
      </c>
      <c r="L76" s="25">
        <f t="shared" si="93"/>
        <v>4241666.6899999995</v>
      </c>
      <c r="M76" s="25">
        <f t="shared" si="93"/>
        <v>0</v>
      </c>
      <c r="N76" s="25">
        <f t="shared" si="93"/>
        <v>464825.55369999993</v>
      </c>
      <c r="O76" s="25">
        <f t="shared" si="93"/>
        <v>1147187.6686</v>
      </c>
      <c r="P76" s="25">
        <f t="shared" si="93"/>
        <v>1848926.1600000001</v>
      </c>
      <c r="Q76" s="25">
        <f t="shared" si="93"/>
        <v>3256333.34</v>
      </c>
      <c r="R76" s="25">
        <f t="shared" si="93"/>
        <v>3522796.57</v>
      </c>
      <c r="S76" s="25">
        <f t="shared" si="93"/>
        <v>3295000</v>
      </c>
      <c r="T76" s="25">
        <f t="shared" si="93"/>
        <v>3431597.3999999994</v>
      </c>
      <c r="U76" s="25">
        <f t="shared" ref="U76" si="94">+U77+U81+U83+U85+U87</f>
        <v>-2.3000000255706254E-3</v>
      </c>
      <c r="V76" s="25"/>
    </row>
    <row r="77" spans="1:25" s="29" customFormat="1" ht="24" x14ac:dyDescent="0.2">
      <c r="A77" s="26"/>
      <c r="B77" s="26" t="s">
        <v>119</v>
      </c>
      <c r="C77" s="26" t="s">
        <v>147</v>
      </c>
      <c r="D77" s="26" t="s">
        <v>1</v>
      </c>
      <c r="E77" s="26"/>
      <c r="F77" s="26"/>
      <c r="G77" s="26"/>
      <c r="H77" s="27">
        <f t="shared" ref="H77" si="95">SUM(H78:H79)</f>
        <v>840000</v>
      </c>
      <c r="I77" s="28">
        <f>+K77-H77</f>
        <v>450000</v>
      </c>
      <c r="J77" s="27">
        <f>+J78+J79+J80</f>
        <v>1720000</v>
      </c>
      <c r="K77" s="27">
        <f t="shared" ref="K77:U77" si="96">+K78+K79+K80</f>
        <v>1290000</v>
      </c>
      <c r="L77" s="27">
        <f t="shared" si="96"/>
        <v>430000</v>
      </c>
      <c r="M77" s="27">
        <f t="shared" si="96"/>
        <v>0</v>
      </c>
      <c r="N77" s="27">
        <f t="shared" si="96"/>
        <v>44343.913700000005</v>
      </c>
      <c r="O77" s="27">
        <f t="shared" si="96"/>
        <v>64265.248600000006</v>
      </c>
      <c r="P77" s="27">
        <f t="shared" si="96"/>
        <v>187000</v>
      </c>
      <c r="Q77" s="27">
        <f t="shared" si="96"/>
        <v>351000</v>
      </c>
      <c r="R77" s="27">
        <f t="shared" si="96"/>
        <v>435000</v>
      </c>
      <c r="S77" s="27">
        <f t="shared" si="96"/>
        <v>405000</v>
      </c>
      <c r="T77" s="27">
        <f t="shared" si="96"/>
        <v>233390.84</v>
      </c>
      <c r="U77" s="27">
        <f t="shared" si="96"/>
        <v>-2.3000000255706254E-3</v>
      </c>
      <c r="V77" s="27"/>
    </row>
    <row r="78" spans="1:25" s="29" customFormat="1" ht="24" x14ac:dyDescent="0.2">
      <c r="A78" s="3">
        <v>46</v>
      </c>
      <c r="B78" s="3" t="s">
        <v>120</v>
      </c>
      <c r="C78" s="3" t="s">
        <v>3</v>
      </c>
      <c r="D78" s="3" t="s">
        <v>2</v>
      </c>
      <c r="E78" s="3"/>
      <c r="F78" s="3" t="s">
        <v>117</v>
      </c>
      <c r="G78" s="3" t="s">
        <v>10</v>
      </c>
      <c r="H78" s="33">
        <v>330000</v>
      </c>
      <c r="I78" s="33">
        <f t="shared" ref="I78:I92" si="97">+K78-H78</f>
        <v>0</v>
      </c>
      <c r="J78" s="33">
        <f>+K78+L78</f>
        <v>440000</v>
      </c>
      <c r="K78" s="32">
        <v>330000</v>
      </c>
      <c r="L78" s="33">
        <f>ROUNDUP(K78/3,2)</f>
        <v>110000</v>
      </c>
      <c r="M78" s="33"/>
      <c r="N78" s="33">
        <v>44343.913700000005</v>
      </c>
      <c r="O78" s="33">
        <v>64265.248600000006</v>
      </c>
      <c r="P78" s="33">
        <v>87000</v>
      </c>
      <c r="Q78" s="33">
        <v>76000</v>
      </c>
      <c r="R78" s="33">
        <v>80000</v>
      </c>
      <c r="S78" s="33">
        <v>80000</v>
      </c>
      <c r="T78" s="33">
        <v>8390.84</v>
      </c>
      <c r="U78" s="31">
        <f t="shared" ref="U78:U80" si="98">+J78-N78-O78-P78-Q78-R78-S78-T78</f>
        <v>-2.3000000255706254E-3</v>
      </c>
      <c r="V78" s="33"/>
    </row>
    <row r="79" spans="1:25" s="29" customFormat="1" ht="24" x14ac:dyDescent="0.2">
      <c r="A79" s="3">
        <v>47</v>
      </c>
      <c r="B79" s="3" t="s">
        <v>123</v>
      </c>
      <c r="C79" s="3" t="s">
        <v>148</v>
      </c>
      <c r="D79" s="3" t="s">
        <v>2</v>
      </c>
      <c r="E79" s="3"/>
      <c r="F79" s="3" t="s">
        <v>117</v>
      </c>
      <c r="G79" s="3" t="s">
        <v>10</v>
      </c>
      <c r="H79" s="33">
        <v>510000</v>
      </c>
      <c r="I79" s="33">
        <f t="shared" si="97"/>
        <v>225000</v>
      </c>
      <c r="J79" s="33">
        <f t="shared" ref="J79" si="99">+K79+L79</f>
        <v>980000</v>
      </c>
      <c r="K79" s="32">
        <f>510000+225000</f>
        <v>735000</v>
      </c>
      <c r="L79" s="33">
        <f t="shared" ref="L79" si="100">ROUNDUP(K79/3,2)</f>
        <v>245000</v>
      </c>
      <c r="M79" s="33"/>
      <c r="N79" s="33">
        <v>0</v>
      </c>
      <c r="O79" s="33">
        <v>0</v>
      </c>
      <c r="P79" s="33">
        <v>100000</v>
      </c>
      <c r="Q79" s="33">
        <f>200000</f>
        <v>200000</v>
      </c>
      <c r="R79" s="33">
        <v>280000</v>
      </c>
      <c r="S79" s="33">
        <f>100000+150000</f>
        <v>250000</v>
      </c>
      <c r="T79" s="33">
        <v>150000</v>
      </c>
      <c r="U79" s="31">
        <f t="shared" si="98"/>
        <v>0</v>
      </c>
      <c r="V79" s="31"/>
    </row>
    <row r="80" spans="1:25" s="29" customFormat="1" ht="35.450000000000003" customHeight="1" x14ac:dyDescent="0.2">
      <c r="A80" s="3">
        <v>48</v>
      </c>
      <c r="B80" s="3" t="s">
        <v>248</v>
      </c>
      <c r="C80" s="63" t="s">
        <v>185</v>
      </c>
      <c r="D80" s="63" t="s">
        <v>2</v>
      </c>
      <c r="E80" s="2" t="s">
        <v>219</v>
      </c>
      <c r="F80" s="63" t="s">
        <v>117</v>
      </c>
      <c r="G80" s="63" t="s">
        <v>10</v>
      </c>
      <c r="H80" s="47">
        <v>225000</v>
      </c>
      <c r="I80" s="33">
        <f t="shared" si="97"/>
        <v>0</v>
      </c>
      <c r="J80" s="64">
        <f>+K80+L80</f>
        <v>300000</v>
      </c>
      <c r="K80" s="64">
        <v>225000</v>
      </c>
      <c r="L80" s="64">
        <f>+K80/3</f>
        <v>75000</v>
      </c>
      <c r="M80" s="64"/>
      <c r="N80" s="64">
        <v>0</v>
      </c>
      <c r="O80" s="64">
        <v>0</v>
      </c>
      <c r="P80" s="64">
        <v>0</v>
      </c>
      <c r="Q80" s="64">
        <v>75000</v>
      </c>
      <c r="R80" s="64">
        <v>75000</v>
      </c>
      <c r="S80" s="64">
        <v>75000</v>
      </c>
      <c r="T80" s="64">
        <v>75000</v>
      </c>
      <c r="U80" s="61">
        <f t="shared" si="98"/>
        <v>0</v>
      </c>
      <c r="V80" s="61"/>
    </row>
    <row r="81" spans="1:22" s="29" customFormat="1" ht="36" x14ac:dyDescent="0.2">
      <c r="A81" s="26"/>
      <c r="B81" s="26" t="s">
        <v>121</v>
      </c>
      <c r="C81" s="26" t="s">
        <v>124</v>
      </c>
      <c r="D81" s="26" t="s">
        <v>1</v>
      </c>
      <c r="E81" s="26"/>
      <c r="F81" s="26"/>
      <c r="G81" s="26"/>
      <c r="H81" s="27">
        <f>+H82</f>
        <v>1500000</v>
      </c>
      <c r="I81" s="28">
        <f>+K81-H81</f>
        <v>0</v>
      </c>
      <c r="J81" s="27">
        <f>+J82</f>
        <v>2000000</v>
      </c>
      <c r="K81" s="27">
        <f t="shared" ref="K81:U81" si="101">+K82</f>
        <v>1500000</v>
      </c>
      <c r="L81" s="27">
        <f t="shared" si="101"/>
        <v>500000</v>
      </c>
      <c r="M81" s="27">
        <f t="shared" si="101"/>
        <v>0</v>
      </c>
      <c r="N81" s="27">
        <f t="shared" si="101"/>
        <v>0</v>
      </c>
      <c r="O81" s="27">
        <f t="shared" si="101"/>
        <v>53203.43</v>
      </c>
      <c r="P81" s="27">
        <f t="shared" si="101"/>
        <v>177000</v>
      </c>
      <c r="Q81" s="27">
        <f t="shared" si="101"/>
        <v>107000</v>
      </c>
      <c r="R81" s="27">
        <f t="shared" si="101"/>
        <v>662796.56999999995</v>
      </c>
      <c r="S81" s="27">
        <f t="shared" si="101"/>
        <v>500000</v>
      </c>
      <c r="T81" s="27">
        <f t="shared" si="101"/>
        <v>500000</v>
      </c>
      <c r="U81" s="28">
        <f t="shared" si="101"/>
        <v>0</v>
      </c>
      <c r="V81" s="27"/>
    </row>
    <row r="82" spans="1:22" s="29" customFormat="1" ht="24" x14ac:dyDescent="0.2">
      <c r="A82" s="3">
        <v>49</v>
      </c>
      <c r="B82" s="3" t="s">
        <v>122</v>
      </c>
      <c r="C82" s="3" t="s">
        <v>149</v>
      </c>
      <c r="D82" s="3" t="s">
        <v>2</v>
      </c>
      <c r="E82" s="3"/>
      <c r="F82" s="3" t="s">
        <v>117</v>
      </c>
      <c r="G82" s="3" t="s">
        <v>10</v>
      </c>
      <c r="H82" s="31">
        <v>1500000</v>
      </c>
      <c r="I82" s="31">
        <f t="shared" si="97"/>
        <v>0</v>
      </c>
      <c r="J82" s="33">
        <f t="shared" ref="J82" si="102">+K82+L82</f>
        <v>2000000</v>
      </c>
      <c r="K82" s="32">
        <v>1500000</v>
      </c>
      <c r="L82" s="33">
        <f t="shared" ref="L82" si="103">ROUNDUP(K82/3,2)</f>
        <v>500000</v>
      </c>
      <c r="M82" s="33"/>
      <c r="N82" s="33">
        <v>0</v>
      </c>
      <c r="O82" s="33">
        <v>53203.43</v>
      </c>
      <c r="P82" s="33">
        <v>177000</v>
      </c>
      <c r="Q82" s="33">
        <f>100000*1.07</f>
        <v>107000</v>
      </c>
      <c r="R82" s="33">
        <v>662796.56999999995</v>
      </c>
      <c r="S82" s="33">
        <v>500000</v>
      </c>
      <c r="T82" s="33">
        <v>500000</v>
      </c>
      <c r="U82" s="31">
        <f>+J82-N82-O82-P82-Q82-R82-S82-T82</f>
        <v>0</v>
      </c>
      <c r="V82" s="33"/>
    </row>
    <row r="83" spans="1:22" s="29" customFormat="1" ht="24" x14ac:dyDescent="0.2">
      <c r="A83" s="26"/>
      <c r="B83" s="26" t="s">
        <v>125</v>
      </c>
      <c r="C83" s="26" t="s">
        <v>126</v>
      </c>
      <c r="D83" s="26" t="s">
        <v>1</v>
      </c>
      <c r="E83" s="26"/>
      <c r="F83" s="26"/>
      <c r="G83" s="26"/>
      <c r="H83" s="27">
        <f>+H84</f>
        <v>481750.005</v>
      </c>
      <c r="I83" s="28">
        <f>+K83-H83</f>
        <v>-5.0000000628642738E-3</v>
      </c>
      <c r="J83" s="27">
        <f t="shared" ref="J83:U83" si="104">SUM(J84:J84)</f>
        <v>642333.34</v>
      </c>
      <c r="K83" s="27">
        <f t="shared" si="104"/>
        <v>481749.99999999994</v>
      </c>
      <c r="L83" s="27">
        <f t="shared" si="104"/>
        <v>160583.34</v>
      </c>
      <c r="M83" s="27">
        <f t="shared" si="104"/>
        <v>0</v>
      </c>
      <c r="N83" s="27">
        <f t="shared" si="104"/>
        <v>0</v>
      </c>
      <c r="O83" s="27">
        <f t="shared" si="104"/>
        <v>0</v>
      </c>
      <c r="P83" s="27">
        <f t="shared" si="104"/>
        <v>43000</v>
      </c>
      <c r="Q83" s="27">
        <f t="shared" si="104"/>
        <v>64000</v>
      </c>
      <c r="R83" s="27">
        <f t="shared" si="104"/>
        <v>200000</v>
      </c>
      <c r="S83" s="27">
        <f t="shared" si="104"/>
        <v>200000</v>
      </c>
      <c r="T83" s="27">
        <f t="shared" si="104"/>
        <v>135333.34</v>
      </c>
      <c r="U83" s="28">
        <f t="shared" si="104"/>
        <v>0</v>
      </c>
      <c r="V83" s="27"/>
    </row>
    <row r="84" spans="1:22" s="29" customFormat="1" ht="24" x14ac:dyDescent="0.2">
      <c r="A84" s="3">
        <v>50</v>
      </c>
      <c r="B84" s="3" t="s">
        <v>128</v>
      </c>
      <c r="C84" s="3" t="s">
        <v>127</v>
      </c>
      <c r="D84" s="3" t="s">
        <v>2</v>
      </c>
      <c r="E84" s="3"/>
      <c r="F84" s="3" t="s">
        <v>117</v>
      </c>
      <c r="G84" s="3" t="s">
        <v>10</v>
      </c>
      <c r="H84" s="31">
        <v>481750.005</v>
      </c>
      <c r="I84" s="31">
        <f t="shared" si="97"/>
        <v>-5.0000000628642738E-3</v>
      </c>
      <c r="J84" s="33">
        <f t="shared" ref="J84" si="105">+K84+L84</f>
        <v>642333.34</v>
      </c>
      <c r="K84" s="43">
        <v>481749.99999999994</v>
      </c>
      <c r="L84" s="42">
        <f t="shared" ref="L84" si="106">ROUNDUP(K84/3,2)</f>
        <v>160583.34</v>
      </c>
      <c r="M84" s="42"/>
      <c r="N84" s="43">
        <v>0</v>
      </c>
      <c r="O84" s="43">
        <v>0</v>
      </c>
      <c r="P84" s="32">
        <v>43000</v>
      </c>
      <c r="Q84" s="32">
        <v>64000</v>
      </c>
      <c r="R84" s="32">
        <v>200000</v>
      </c>
      <c r="S84" s="32">
        <v>200000</v>
      </c>
      <c r="T84" s="32">
        <v>135333.34</v>
      </c>
      <c r="U84" s="31">
        <f>+J84-N84-O84-P84-Q84-R84-S84-T84</f>
        <v>0</v>
      </c>
      <c r="V84" s="33"/>
    </row>
    <row r="85" spans="1:22" s="29" customFormat="1" x14ac:dyDescent="0.2">
      <c r="A85" s="26"/>
      <c r="B85" s="26" t="s">
        <v>129</v>
      </c>
      <c r="C85" s="26" t="s">
        <v>130</v>
      </c>
      <c r="D85" s="26" t="s">
        <v>1</v>
      </c>
      <c r="E85" s="26"/>
      <c r="F85" s="26"/>
      <c r="G85" s="26"/>
      <c r="H85" s="27">
        <f>+H86</f>
        <v>3375000</v>
      </c>
      <c r="I85" s="28">
        <f>+K85-H85</f>
        <v>736250</v>
      </c>
      <c r="J85" s="27">
        <f t="shared" ref="J85:U85" si="107">SUM(J86:J86)</f>
        <v>5481666.6699999999</v>
      </c>
      <c r="K85" s="27">
        <f t="shared" si="107"/>
        <v>4111250</v>
      </c>
      <c r="L85" s="27">
        <f t="shared" si="107"/>
        <v>1370416.67</v>
      </c>
      <c r="M85" s="27">
        <f t="shared" si="107"/>
        <v>0</v>
      </c>
      <c r="N85" s="27">
        <f t="shared" si="107"/>
        <v>59825.82</v>
      </c>
      <c r="O85" s="27">
        <f t="shared" si="107"/>
        <v>496605.21</v>
      </c>
      <c r="P85" s="27">
        <f t="shared" si="107"/>
        <v>802633.06</v>
      </c>
      <c r="Q85" s="27">
        <f t="shared" si="107"/>
        <v>900000</v>
      </c>
      <c r="R85" s="27">
        <f t="shared" si="107"/>
        <v>950000</v>
      </c>
      <c r="S85" s="27">
        <f t="shared" si="107"/>
        <v>1000000</v>
      </c>
      <c r="T85" s="27">
        <f t="shared" si="107"/>
        <v>1272602.5799999996</v>
      </c>
      <c r="U85" s="28">
        <f t="shared" si="107"/>
        <v>0</v>
      </c>
      <c r="V85" s="27"/>
    </row>
    <row r="86" spans="1:22" s="29" customFormat="1" ht="48" x14ac:dyDescent="0.2">
      <c r="A86" s="3">
        <v>51</v>
      </c>
      <c r="B86" s="3" t="s">
        <v>131</v>
      </c>
      <c r="C86" s="3" t="s">
        <v>150</v>
      </c>
      <c r="D86" s="3" t="s">
        <v>2</v>
      </c>
      <c r="E86" s="3"/>
      <c r="F86" s="3" t="s">
        <v>117</v>
      </c>
      <c r="G86" s="3" t="s">
        <v>10</v>
      </c>
      <c r="H86" s="31">
        <v>3375000</v>
      </c>
      <c r="I86" s="31">
        <f t="shared" si="97"/>
        <v>736250</v>
      </c>
      <c r="J86" s="33">
        <f>+K86+L86</f>
        <v>5481666.6699999999</v>
      </c>
      <c r="K86" s="32">
        <f>3375000+1000000+1000000-1263750</f>
        <v>4111250</v>
      </c>
      <c r="L86" s="33">
        <f>ROUNDUP(K86/3,2)</f>
        <v>1370416.67</v>
      </c>
      <c r="M86" s="31"/>
      <c r="N86" s="33">
        <v>59825.82</v>
      </c>
      <c r="O86" s="33">
        <v>496605.21</v>
      </c>
      <c r="P86" s="33">
        <v>802633.06</v>
      </c>
      <c r="Q86" s="33">
        <v>900000</v>
      </c>
      <c r="R86" s="33">
        <v>950000</v>
      </c>
      <c r="S86" s="33">
        <v>1000000</v>
      </c>
      <c r="T86" s="33">
        <v>1272602.5799999996</v>
      </c>
      <c r="U86" s="31">
        <f>+J86-N86-O86-P86-Q86-R86-S86-T86</f>
        <v>0</v>
      </c>
      <c r="V86" s="33" t="s">
        <v>261</v>
      </c>
    </row>
    <row r="87" spans="1:22" s="29" customFormat="1" ht="24" x14ac:dyDescent="0.2">
      <c r="A87" s="26"/>
      <c r="B87" s="26" t="s">
        <v>132</v>
      </c>
      <c r="C87" s="26" t="s">
        <v>133</v>
      </c>
      <c r="D87" s="26" t="s">
        <v>1</v>
      </c>
      <c r="E87" s="26"/>
      <c r="F87" s="26"/>
      <c r="G87" s="26"/>
      <c r="H87" s="27">
        <f>SUM(H88:H92)</f>
        <v>4078249.9950000001</v>
      </c>
      <c r="I87" s="28">
        <f>+K87-H87</f>
        <v>1263750.0049999999</v>
      </c>
      <c r="J87" s="27">
        <f>+J88+J89+J90+J91+J92</f>
        <v>7122666.6799999997</v>
      </c>
      <c r="K87" s="27">
        <f t="shared" ref="K87:R87" si="108">+K88+K89+K90+K91+K92</f>
        <v>5342000</v>
      </c>
      <c r="L87" s="27">
        <f t="shared" si="108"/>
        <v>1780666.6800000002</v>
      </c>
      <c r="M87" s="27">
        <f t="shared" si="108"/>
        <v>0</v>
      </c>
      <c r="N87" s="27">
        <f t="shared" si="108"/>
        <v>360655.81999999995</v>
      </c>
      <c r="O87" s="27">
        <f t="shared" si="108"/>
        <v>533113.78</v>
      </c>
      <c r="P87" s="27">
        <f t="shared" si="108"/>
        <v>639293.1</v>
      </c>
      <c r="Q87" s="27">
        <f t="shared" si="108"/>
        <v>1834333.3399999999</v>
      </c>
      <c r="R87" s="27">
        <f t="shared" si="108"/>
        <v>1275000</v>
      </c>
      <c r="S87" s="27">
        <f t="shared" ref="S87:T87" si="109">+S88+S89+S90+S91+S92</f>
        <v>1190000</v>
      </c>
      <c r="T87" s="27">
        <f t="shared" si="109"/>
        <v>1290270.6399999999</v>
      </c>
      <c r="U87" s="28">
        <f t="shared" ref="U87" si="110">+U88+U89+U90+U91+U92</f>
        <v>0</v>
      </c>
      <c r="V87" s="27"/>
    </row>
    <row r="88" spans="1:22" s="29" customFormat="1" ht="48" x14ac:dyDescent="0.2">
      <c r="A88" s="3">
        <v>52</v>
      </c>
      <c r="B88" s="3" t="s">
        <v>134</v>
      </c>
      <c r="C88" s="3" t="s">
        <v>174</v>
      </c>
      <c r="D88" s="3" t="s">
        <v>2</v>
      </c>
      <c r="E88" s="3"/>
      <c r="F88" s="3" t="s">
        <v>117</v>
      </c>
      <c r="G88" s="3" t="s">
        <v>10</v>
      </c>
      <c r="H88" s="31">
        <v>865749.98250000004</v>
      </c>
      <c r="I88" s="31">
        <f t="shared" si="97"/>
        <v>1.7499999958090484E-2</v>
      </c>
      <c r="J88" s="33">
        <f t="shared" ref="J88:J92" si="111">+K88+L88</f>
        <v>1154333.3400000001</v>
      </c>
      <c r="K88" s="43">
        <v>865750</v>
      </c>
      <c r="L88" s="42">
        <f t="shared" ref="L88:L92" si="112">ROUNDUP(K88/3,2)</f>
        <v>288583.34000000003</v>
      </c>
      <c r="M88" s="42"/>
      <c r="N88" s="32">
        <v>21859.74</v>
      </c>
      <c r="O88" s="32">
        <v>244631.97</v>
      </c>
      <c r="P88" s="32">
        <v>162000</v>
      </c>
      <c r="Q88" s="32">
        <v>139000</v>
      </c>
      <c r="R88" s="32">
        <v>223000</v>
      </c>
      <c r="S88" s="32">
        <v>180000</v>
      </c>
      <c r="T88" s="32">
        <v>183841.63</v>
      </c>
      <c r="U88" s="31">
        <f t="shared" ref="U88:U92" si="113">+J88-N88-O88-P88-Q88-R88-S88-T88</f>
        <v>0</v>
      </c>
      <c r="V88" s="33"/>
    </row>
    <row r="89" spans="1:22" s="29" customFormat="1" ht="60" x14ac:dyDescent="0.2">
      <c r="A89" s="3">
        <v>53</v>
      </c>
      <c r="B89" s="3" t="s">
        <v>135</v>
      </c>
      <c r="C89" s="3" t="s">
        <v>146</v>
      </c>
      <c r="D89" s="3" t="s">
        <v>2</v>
      </c>
      <c r="E89" s="3"/>
      <c r="F89" s="3" t="s">
        <v>117</v>
      </c>
      <c r="G89" s="3" t="s">
        <v>10</v>
      </c>
      <c r="H89" s="31">
        <v>1500000</v>
      </c>
      <c r="I89" s="31">
        <f t="shared" si="97"/>
        <v>1263750</v>
      </c>
      <c r="J89" s="33">
        <f t="shared" si="111"/>
        <v>3685000</v>
      </c>
      <c r="K89" s="32">
        <f>1500000+1263750</f>
        <v>2763750</v>
      </c>
      <c r="L89" s="33">
        <f t="shared" si="112"/>
        <v>921250</v>
      </c>
      <c r="M89" s="42"/>
      <c r="N89" s="32">
        <v>298929.15999999997</v>
      </c>
      <c r="O89" s="32">
        <v>192639.34</v>
      </c>
      <c r="P89" s="32">
        <v>213293.1</v>
      </c>
      <c r="Q89" s="32">
        <v>960000</v>
      </c>
      <c r="R89" s="32">
        <v>690000</v>
      </c>
      <c r="S89" s="32">
        <v>620000</v>
      </c>
      <c r="T89" s="32">
        <v>710138.39999999991</v>
      </c>
      <c r="U89" s="31">
        <f t="shared" si="113"/>
        <v>0</v>
      </c>
      <c r="V89" s="75" t="s">
        <v>262</v>
      </c>
    </row>
    <row r="90" spans="1:22" s="29" customFormat="1" x14ac:dyDescent="0.2">
      <c r="A90" s="3">
        <v>54</v>
      </c>
      <c r="B90" s="3" t="s">
        <v>136</v>
      </c>
      <c r="C90" s="3" t="s">
        <v>138</v>
      </c>
      <c r="D90" s="3" t="s">
        <v>2</v>
      </c>
      <c r="E90" s="3"/>
      <c r="F90" s="3" t="s">
        <v>117</v>
      </c>
      <c r="G90" s="3" t="s">
        <v>10</v>
      </c>
      <c r="H90" s="31">
        <v>675000</v>
      </c>
      <c r="I90" s="31">
        <f t="shared" si="97"/>
        <v>0</v>
      </c>
      <c r="J90" s="33">
        <f t="shared" si="111"/>
        <v>900000</v>
      </c>
      <c r="K90" s="43">
        <v>675000</v>
      </c>
      <c r="L90" s="42">
        <f t="shared" si="112"/>
        <v>225000</v>
      </c>
      <c r="M90" s="42"/>
      <c r="N90" s="32">
        <v>39866.92</v>
      </c>
      <c r="O90" s="32">
        <v>95842.47</v>
      </c>
      <c r="P90" s="32">
        <v>126000</v>
      </c>
      <c r="Q90" s="32">
        <f>P90</f>
        <v>126000</v>
      </c>
      <c r="R90" s="32">
        <v>126000</v>
      </c>
      <c r="S90" s="32">
        <v>190000</v>
      </c>
      <c r="T90" s="32">
        <v>196290.61</v>
      </c>
      <c r="U90" s="31">
        <f t="shared" si="113"/>
        <v>0</v>
      </c>
      <c r="V90" s="33"/>
    </row>
    <row r="91" spans="1:22" s="29" customFormat="1" ht="24" x14ac:dyDescent="0.2">
      <c r="A91" s="3">
        <v>55</v>
      </c>
      <c r="B91" s="3" t="s">
        <v>137</v>
      </c>
      <c r="C91" s="3" t="s">
        <v>177</v>
      </c>
      <c r="D91" s="3" t="s">
        <v>2</v>
      </c>
      <c r="E91" s="3"/>
      <c r="F91" s="3" t="s">
        <v>117</v>
      </c>
      <c r="G91" s="3" t="s">
        <v>10</v>
      </c>
      <c r="H91" s="31">
        <v>400000.01249999995</v>
      </c>
      <c r="I91" s="31">
        <f t="shared" si="97"/>
        <v>-1.2499999953433871E-2</v>
      </c>
      <c r="J91" s="33">
        <f t="shared" si="111"/>
        <v>533333.34</v>
      </c>
      <c r="K91" s="43">
        <v>400000</v>
      </c>
      <c r="L91" s="42">
        <f t="shared" si="112"/>
        <v>133333.34</v>
      </c>
      <c r="M91" s="42"/>
      <c r="N91" s="32">
        <v>0</v>
      </c>
      <c r="O91" s="46">
        <v>0</v>
      </c>
      <c r="P91" s="32">
        <v>138000</v>
      </c>
      <c r="Q91" s="32">
        <f>J91-P91</f>
        <v>395333.33999999997</v>
      </c>
      <c r="R91" s="32">
        <v>0</v>
      </c>
      <c r="S91" s="32">
        <v>0</v>
      </c>
      <c r="T91" s="32">
        <v>0</v>
      </c>
      <c r="U91" s="31">
        <f t="shared" si="113"/>
        <v>0</v>
      </c>
      <c r="V91" s="33"/>
    </row>
    <row r="92" spans="1:22" ht="36" x14ac:dyDescent="0.2">
      <c r="A92" s="3">
        <v>56</v>
      </c>
      <c r="B92" s="3" t="s">
        <v>176</v>
      </c>
      <c r="C92" s="3" t="s">
        <v>178</v>
      </c>
      <c r="D92" s="3" t="s">
        <v>2</v>
      </c>
      <c r="E92" s="3"/>
      <c r="F92" s="3" t="s">
        <v>117</v>
      </c>
      <c r="G92" s="3" t="s">
        <v>10</v>
      </c>
      <c r="H92" s="31">
        <v>637500</v>
      </c>
      <c r="I92" s="31">
        <f t="shared" si="97"/>
        <v>0</v>
      </c>
      <c r="J92" s="33">
        <f t="shared" si="111"/>
        <v>850000</v>
      </c>
      <c r="K92" s="43">
        <v>637500</v>
      </c>
      <c r="L92" s="42">
        <f t="shared" si="112"/>
        <v>212500</v>
      </c>
      <c r="M92" s="42"/>
      <c r="N92" s="32">
        <v>0</v>
      </c>
      <c r="O92" s="32">
        <v>0</v>
      </c>
      <c r="P92" s="32">
        <v>0</v>
      </c>
      <c r="Q92" s="32">
        <f>200000*1.07</f>
        <v>214000</v>
      </c>
      <c r="R92" s="32">
        <v>236000</v>
      </c>
      <c r="S92" s="32">
        <v>200000</v>
      </c>
      <c r="T92" s="32">
        <v>200000</v>
      </c>
      <c r="U92" s="31">
        <f t="shared" si="113"/>
        <v>0</v>
      </c>
      <c r="V92" s="33"/>
    </row>
    <row r="93" spans="1:22" s="29" customFormat="1" ht="24" x14ac:dyDescent="0.2">
      <c r="A93" s="23"/>
      <c r="B93" s="23" t="s">
        <v>139</v>
      </c>
      <c r="C93" s="23" t="s">
        <v>112</v>
      </c>
      <c r="D93" s="23" t="s">
        <v>15</v>
      </c>
      <c r="E93" s="23"/>
      <c r="F93" s="23"/>
      <c r="G93" s="23"/>
      <c r="H93" s="24">
        <f>+H94</f>
        <v>5500000</v>
      </c>
      <c r="I93" s="24">
        <f>+K93-H93</f>
        <v>0</v>
      </c>
      <c r="J93" s="25">
        <f>+J94</f>
        <v>5500000</v>
      </c>
      <c r="K93" s="25">
        <f t="shared" ref="K93:U93" si="114">+K94</f>
        <v>5500000</v>
      </c>
      <c r="L93" s="25">
        <f t="shared" si="114"/>
        <v>0</v>
      </c>
      <c r="M93" s="25">
        <f t="shared" si="114"/>
        <v>0</v>
      </c>
      <c r="N93" s="25">
        <f t="shared" si="114"/>
        <v>370762.44</v>
      </c>
      <c r="O93" s="25">
        <f t="shared" si="114"/>
        <v>753285.98</v>
      </c>
      <c r="P93" s="25">
        <f t="shared" si="114"/>
        <v>952412</v>
      </c>
      <c r="Q93" s="25">
        <f t="shared" si="114"/>
        <v>953414</v>
      </c>
      <c r="R93" s="25">
        <f t="shared" si="114"/>
        <v>1100000</v>
      </c>
      <c r="S93" s="25">
        <f t="shared" si="114"/>
        <v>1100000</v>
      </c>
      <c r="T93" s="25">
        <f t="shared" si="114"/>
        <v>270125.58</v>
      </c>
      <c r="U93" s="59">
        <f t="shared" si="114"/>
        <v>0</v>
      </c>
      <c r="V93" s="25"/>
    </row>
    <row r="94" spans="1:22" s="29" customFormat="1" ht="24" x14ac:dyDescent="0.2">
      <c r="A94" s="26"/>
      <c r="B94" s="26" t="s">
        <v>140</v>
      </c>
      <c r="C94" s="26" t="s">
        <v>142</v>
      </c>
      <c r="D94" s="26" t="s">
        <v>1</v>
      </c>
      <c r="E94" s="26"/>
      <c r="F94" s="26"/>
      <c r="G94" s="26"/>
      <c r="H94" s="27">
        <f>+H95</f>
        <v>5500000</v>
      </c>
      <c r="I94" s="28">
        <f>+K94-H94</f>
        <v>0</v>
      </c>
      <c r="J94" s="27">
        <f t="shared" ref="J94:U94" si="115">SUM(J95:J95)</f>
        <v>5500000</v>
      </c>
      <c r="K94" s="27">
        <f t="shared" si="115"/>
        <v>5500000</v>
      </c>
      <c r="L94" s="27">
        <f t="shared" si="115"/>
        <v>0</v>
      </c>
      <c r="M94" s="27">
        <f t="shared" si="115"/>
        <v>0</v>
      </c>
      <c r="N94" s="27">
        <f t="shared" si="115"/>
        <v>370762.44</v>
      </c>
      <c r="O94" s="27">
        <f t="shared" si="115"/>
        <v>753285.98</v>
      </c>
      <c r="P94" s="27">
        <f t="shared" si="115"/>
        <v>952412</v>
      </c>
      <c r="Q94" s="27">
        <f t="shared" si="115"/>
        <v>953414</v>
      </c>
      <c r="R94" s="27">
        <f t="shared" si="115"/>
        <v>1100000</v>
      </c>
      <c r="S94" s="27">
        <f t="shared" si="115"/>
        <v>1100000</v>
      </c>
      <c r="T94" s="27">
        <f t="shared" si="115"/>
        <v>270125.58</v>
      </c>
      <c r="U94" s="28">
        <f t="shared" si="115"/>
        <v>0</v>
      </c>
      <c r="V94" s="27"/>
    </row>
    <row r="95" spans="1:22" x14ac:dyDescent="0.2">
      <c r="A95" s="3">
        <v>57</v>
      </c>
      <c r="B95" s="3" t="s">
        <v>141</v>
      </c>
      <c r="C95" s="3" t="s">
        <v>4</v>
      </c>
      <c r="D95" s="3" t="s">
        <v>2</v>
      </c>
      <c r="E95" s="3"/>
      <c r="F95" s="3" t="s">
        <v>117</v>
      </c>
      <c r="G95" s="3" t="s">
        <v>10</v>
      </c>
      <c r="H95" s="31">
        <v>5500000</v>
      </c>
      <c r="I95" s="31">
        <f t="shared" ref="I95" si="116">+K95-H95</f>
        <v>0</v>
      </c>
      <c r="J95" s="33">
        <f t="shared" ref="J95" si="117">+K95+L95</f>
        <v>5500000</v>
      </c>
      <c r="K95" s="42">
        <v>5500000</v>
      </c>
      <c r="L95" s="42">
        <v>0</v>
      </c>
      <c r="M95" s="33"/>
      <c r="N95" s="33">
        <v>370762.44</v>
      </c>
      <c r="O95" s="33">
        <v>753285.98</v>
      </c>
      <c r="P95" s="33">
        <v>952412</v>
      </c>
      <c r="Q95" s="33">
        <v>953414</v>
      </c>
      <c r="R95" s="33">
        <v>1100000</v>
      </c>
      <c r="S95" s="33">
        <v>1100000</v>
      </c>
      <c r="T95" s="33">
        <v>270125.58</v>
      </c>
      <c r="U95" s="31">
        <f>+J95-N95-O95-P95-Q95-R95-S95-T95</f>
        <v>0</v>
      </c>
      <c r="V95" s="33"/>
    </row>
    <row r="96" spans="1:22" ht="24" x14ac:dyDescent="0.2">
      <c r="A96" s="20"/>
      <c r="B96" s="20" t="s">
        <v>143</v>
      </c>
      <c r="C96" s="20" t="s">
        <v>144</v>
      </c>
      <c r="D96" s="20" t="s">
        <v>0</v>
      </c>
      <c r="E96" s="20"/>
      <c r="F96" s="20"/>
      <c r="G96" s="20"/>
      <c r="H96" s="48"/>
      <c r="I96" s="48"/>
      <c r="J96" s="21">
        <f>+K96</f>
        <v>7069828.0590566099</v>
      </c>
      <c r="K96" s="21">
        <v>7069828.0590566099</v>
      </c>
      <c r="L96" s="21">
        <f t="shared" ref="L96:O96" si="118">+L97</f>
        <v>0</v>
      </c>
      <c r="M96" s="21">
        <f t="shared" si="118"/>
        <v>0</v>
      </c>
      <c r="N96" s="21">
        <f t="shared" si="118"/>
        <v>6523.11</v>
      </c>
      <c r="O96" s="21">
        <f t="shared" si="118"/>
        <v>687519.08</v>
      </c>
      <c r="P96" s="21">
        <v>1000000</v>
      </c>
      <c r="Q96" s="21">
        <v>1500000</v>
      </c>
      <c r="R96" s="21">
        <f>+K96-N96-O96-P96-Q96</f>
        <v>3875785.8690566095</v>
      </c>
      <c r="S96" s="21">
        <v>0</v>
      </c>
      <c r="T96" s="21">
        <v>0</v>
      </c>
      <c r="U96" s="58">
        <v>0</v>
      </c>
      <c r="V96" s="21"/>
    </row>
    <row r="97" spans="1:28" s="29" customFormat="1" ht="24" x14ac:dyDescent="0.2">
      <c r="A97" s="23"/>
      <c r="B97" s="23" t="s">
        <v>152</v>
      </c>
      <c r="C97" s="23" t="s">
        <v>151</v>
      </c>
      <c r="D97" s="23" t="s">
        <v>15</v>
      </c>
      <c r="E97" s="23"/>
      <c r="F97" s="23"/>
      <c r="G97" s="23"/>
      <c r="H97" s="24">
        <f>+H98</f>
        <v>0</v>
      </c>
      <c r="I97" s="24"/>
      <c r="J97" s="25">
        <f>+J98</f>
        <v>3457575.94</v>
      </c>
      <c r="K97" s="25">
        <f t="shared" ref="K97:U97" si="119">+K98</f>
        <v>3457575.94</v>
      </c>
      <c r="L97" s="25">
        <f t="shared" si="119"/>
        <v>0</v>
      </c>
      <c r="M97" s="25">
        <f t="shared" si="119"/>
        <v>0</v>
      </c>
      <c r="N97" s="25">
        <f t="shared" si="119"/>
        <v>6523.11</v>
      </c>
      <c r="O97" s="25">
        <f t="shared" si="119"/>
        <v>687519.08</v>
      </c>
      <c r="P97" s="25">
        <f t="shared" si="119"/>
        <v>724028</v>
      </c>
      <c r="Q97" s="25">
        <f t="shared" si="119"/>
        <v>724028</v>
      </c>
      <c r="R97" s="25">
        <f t="shared" si="119"/>
        <v>1315477.75</v>
      </c>
      <c r="S97" s="25">
        <f t="shared" si="119"/>
        <v>0</v>
      </c>
      <c r="T97" s="25">
        <f t="shared" si="119"/>
        <v>0</v>
      </c>
      <c r="U97" s="59">
        <f t="shared" si="119"/>
        <v>0</v>
      </c>
      <c r="V97" s="25"/>
    </row>
    <row r="98" spans="1:28" s="29" customFormat="1" x14ac:dyDescent="0.2">
      <c r="A98" s="26"/>
      <c r="B98" s="26" t="s">
        <v>153</v>
      </c>
      <c r="C98" s="26" t="s">
        <v>144</v>
      </c>
      <c r="D98" s="26" t="s">
        <v>1</v>
      </c>
      <c r="E98" s="26"/>
      <c r="F98" s="26"/>
      <c r="G98" s="26"/>
      <c r="H98" s="27">
        <f>+H99+H100+H101</f>
        <v>0</v>
      </c>
      <c r="I98" s="28"/>
      <c r="J98" s="27">
        <f>+J99+J100+J101</f>
        <v>3457575.94</v>
      </c>
      <c r="K98" s="27">
        <f t="shared" ref="K98:R98" si="120">+K99+K100+K101</f>
        <v>3457575.94</v>
      </c>
      <c r="L98" s="27">
        <f t="shared" si="120"/>
        <v>0</v>
      </c>
      <c r="M98" s="27">
        <f t="shared" si="120"/>
        <v>0</v>
      </c>
      <c r="N98" s="27">
        <f t="shared" si="120"/>
        <v>6523.11</v>
      </c>
      <c r="O98" s="27">
        <f t="shared" si="120"/>
        <v>687519.08</v>
      </c>
      <c r="P98" s="27">
        <f t="shared" si="120"/>
        <v>724028</v>
      </c>
      <c r="Q98" s="27">
        <f t="shared" si="120"/>
        <v>724028</v>
      </c>
      <c r="R98" s="27">
        <f t="shared" si="120"/>
        <v>1315477.75</v>
      </c>
      <c r="S98" s="27">
        <f t="shared" ref="S98:T98" si="121">+S99+S100+S101</f>
        <v>0</v>
      </c>
      <c r="T98" s="27">
        <f t="shared" si="121"/>
        <v>0</v>
      </c>
      <c r="U98" s="28">
        <f t="shared" ref="U98" si="122">+U99+U100+U101</f>
        <v>0</v>
      </c>
      <c r="V98" s="27"/>
    </row>
    <row r="99" spans="1:28" s="29" customFormat="1" x14ac:dyDescent="0.2">
      <c r="A99" s="3">
        <v>58</v>
      </c>
      <c r="B99" s="3" t="s">
        <v>158</v>
      </c>
      <c r="C99" s="3" t="s">
        <v>154</v>
      </c>
      <c r="D99" s="3" t="s">
        <v>2</v>
      </c>
      <c r="E99" s="3"/>
      <c r="F99" s="3" t="s">
        <v>156</v>
      </c>
      <c r="G99" s="3" t="s">
        <v>10</v>
      </c>
      <c r="H99" s="44"/>
      <c r="I99" s="31"/>
      <c r="J99" s="33">
        <f t="shared" ref="J99" si="123">+K99+L99</f>
        <v>783127</v>
      </c>
      <c r="K99" s="33">
        <v>783127</v>
      </c>
      <c r="L99" s="33">
        <v>0</v>
      </c>
      <c r="M99" s="33"/>
      <c r="N99" s="32">
        <v>0</v>
      </c>
      <c r="O99" s="32">
        <v>101328</v>
      </c>
      <c r="P99" s="32">
        <v>174028</v>
      </c>
      <c r="Q99" s="32">
        <v>174028</v>
      </c>
      <c r="R99" s="32">
        <v>333743</v>
      </c>
      <c r="S99" s="32"/>
      <c r="T99" s="32"/>
      <c r="U99" s="39"/>
      <c r="V99" s="33"/>
    </row>
    <row r="100" spans="1:28" s="29" customFormat="1" x14ac:dyDescent="0.2">
      <c r="A100" s="3">
        <v>59</v>
      </c>
      <c r="B100" s="3" t="s">
        <v>159</v>
      </c>
      <c r="C100" s="3" t="s">
        <v>155</v>
      </c>
      <c r="D100" s="3" t="s">
        <v>2</v>
      </c>
      <c r="E100" s="3"/>
      <c r="F100" s="3" t="s">
        <v>157</v>
      </c>
      <c r="G100" s="3" t="s">
        <v>10</v>
      </c>
      <c r="H100" s="44"/>
      <c r="I100" s="31"/>
      <c r="J100" s="33">
        <v>170000</v>
      </c>
      <c r="K100" s="33">
        <v>170000</v>
      </c>
      <c r="L100" s="33">
        <v>0</v>
      </c>
      <c r="M100" s="33"/>
      <c r="N100" s="33">
        <v>6523.11</v>
      </c>
      <c r="O100" s="33">
        <v>12200.73</v>
      </c>
      <c r="P100" s="33">
        <v>50000</v>
      </c>
      <c r="Q100" s="33">
        <v>50000</v>
      </c>
      <c r="R100" s="33">
        <v>51276.160000000003</v>
      </c>
      <c r="S100" s="33"/>
      <c r="T100" s="33"/>
      <c r="U100" s="31"/>
      <c r="V100" s="33"/>
    </row>
    <row r="101" spans="1:28" x14ac:dyDescent="0.2">
      <c r="A101" s="3">
        <v>60</v>
      </c>
      <c r="B101" s="3" t="s">
        <v>181</v>
      </c>
      <c r="C101" s="3" t="s">
        <v>182</v>
      </c>
      <c r="D101" s="3" t="s">
        <v>2</v>
      </c>
      <c r="E101" s="3"/>
      <c r="F101" s="3" t="s">
        <v>258</v>
      </c>
      <c r="G101" s="3" t="s">
        <v>10</v>
      </c>
      <c r="H101" s="44"/>
      <c r="I101" s="31"/>
      <c r="J101" s="33">
        <f>1440376.4+964072.54+100000</f>
        <v>2504448.94</v>
      </c>
      <c r="K101" s="33">
        <f>+J101</f>
        <v>2504448.94</v>
      </c>
      <c r="L101" s="33">
        <v>0</v>
      </c>
      <c r="M101" s="33"/>
      <c r="N101" s="33">
        <v>0</v>
      </c>
      <c r="O101" s="33">
        <v>573990.35</v>
      </c>
      <c r="P101" s="33">
        <v>500000</v>
      </c>
      <c r="Q101" s="33">
        <v>500000</v>
      </c>
      <c r="R101" s="33">
        <f>+K101-P101-Q101-O101</f>
        <v>930458.59</v>
      </c>
      <c r="S101" s="33"/>
      <c r="T101" s="33"/>
      <c r="U101" s="31"/>
      <c r="V101" s="33"/>
    </row>
    <row r="102" spans="1:28" x14ac:dyDescent="0.2">
      <c r="J102" s="60"/>
      <c r="Z102" s="19">
        <f>SUBTOTAL(9,Z30:Z48)</f>
        <v>1452931.085</v>
      </c>
      <c r="AA102" s="19">
        <f>SUBTOTAL(9,AA30:AA48)</f>
        <v>140173.58499999999</v>
      </c>
      <c r="AB102" s="19"/>
    </row>
    <row r="103" spans="1:28" x14ac:dyDescent="0.2">
      <c r="P103" s="34"/>
      <c r="Q103" s="69"/>
      <c r="R103" s="69"/>
    </row>
    <row r="105" spans="1:28" x14ac:dyDescent="0.2">
      <c r="J105" s="62"/>
    </row>
    <row r="107" spans="1:28" x14ac:dyDescent="0.2">
      <c r="J107" s="62"/>
    </row>
  </sheetData>
  <autoFilter ref="A3:V103" xr:uid="{00000000-0009-0000-0000-000000000000}"/>
  <phoneticPr fontId="12" type="noConversion"/>
  <pageMargins left="0.25" right="0.25" top="0.75" bottom="0.75" header="0.3" footer="0.3"/>
  <pageSetup paperSize="8" scale="81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AN</vt:lpstr>
      <vt:lpstr>AN!Področje_tiskanja</vt:lpstr>
      <vt:lpstr>AN!Tiskanje_naslovov</vt:lpstr>
    </vt:vector>
  </TitlesOfParts>
  <Manager/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Kern</dc:creator>
  <cp:keywords/>
  <dc:description/>
  <cp:lastModifiedBy>Tina Krvina</cp:lastModifiedBy>
  <cp:lastPrinted>2026-05-20T08:14:26Z</cp:lastPrinted>
  <dcterms:created xsi:type="dcterms:W3CDTF">2017-02-15T08:56:09Z</dcterms:created>
  <dcterms:modified xsi:type="dcterms:W3CDTF">2026-05-20T08:14:53Z</dcterms:modified>
  <cp:category/>
</cp:coreProperties>
</file>