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6\41_popravki AN_20260724\"/>
    </mc:Choice>
  </mc:AlternateContent>
  <xr:revisionPtr revIDLastSave="0" documentId="13_ncr:1_{53A80747-BE1B-4BBF-B688-C70971CBE1CB}" xr6:coauthVersionLast="47" xr6:coauthVersionMax="47" xr10:uidLastSave="{00000000-0000-0000-0000-000000000000}"/>
  <bookViews>
    <workbookView xWindow="-120" yWindow="-120" windowWidth="29040" windowHeight="1752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AN!$A$3:$R$90</definedName>
    <definedName name="_xlnm.Print_Titles" localSheetId="4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5" i="9" l="1"/>
  <c r="P32" i="9"/>
  <c r="H66" i="9"/>
  <c r="Q66" i="9"/>
  <c r="H32" i="9"/>
  <c r="G87" i="9"/>
  <c r="N15" i="9"/>
  <c r="H56" i="9"/>
  <c r="J56" i="9"/>
  <c r="K56" i="9"/>
  <c r="L56" i="9"/>
  <c r="M56" i="9"/>
  <c r="N56" i="9"/>
  <c r="O56" i="9"/>
  <c r="P56" i="9"/>
  <c r="Q56" i="9"/>
  <c r="I58" i="9"/>
  <c r="G58" i="9" s="1"/>
  <c r="I57" i="9"/>
  <c r="G57" i="9" s="1"/>
  <c r="Y60" i="9"/>
  <c r="I60" i="9"/>
  <c r="G60" i="9" s="1"/>
  <c r="P59" i="9"/>
  <c r="O59" i="9"/>
  <c r="N59" i="9"/>
  <c r="M59" i="9"/>
  <c r="L59" i="9"/>
  <c r="K59" i="9"/>
  <c r="J59" i="9"/>
  <c r="H59" i="9"/>
  <c r="G56" i="9" l="1"/>
  <c r="I56" i="9"/>
  <c r="I59" i="9"/>
  <c r="Z60" i="9"/>
  <c r="AA60" i="9" s="1"/>
  <c r="Q60" i="9"/>
  <c r="Q59" i="9" s="1"/>
  <c r="G59" i="9"/>
  <c r="O78" i="9" l="1"/>
  <c r="I78" i="9"/>
  <c r="Q71" i="9"/>
  <c r="O38" i="9"/>
  <c r="O28" i="9"/>
  <c r="H38" i="9"/>
  <c r="J38" i="9"/>
  <c r="K38" i="9"/>
  <c r="L38" i="9"/>
  <c r="M38" i="9"/>
  <c r="N38" i="9"/>
  <c r="P38" i="9"/>
  <c r="H35" i="9"/>
  <c r="J35" i="9"/>
  <c r="K35" i="9"/>
  <c r="L35" i="9"/>
  <c r="M35" i="9"/>
  <c r="N35" i="9"/>
  <c r="O35" i="9"/>
  <c r="P35" i="9"/>
  <c r="J31" i="9"/>
  <c r="K31" i="9"/>
  <c r="L31" i="9"/>
  <c r="M31" i="9"/>
  <c r="N31" i="9"/>
  <c r="O31" i="9"/>
  <c r="H29" i="9"/>
  <c r="J29" i="9"/>
  <c r="K29" i="9"/>
  <c r="L29" i="9"/>
  <c r="M29" i="9"/>
  <c r="N29" i="9"/>
  <c r="O29" i="9"/>
  <c r="P29" i="9"/>
  <c r="Q29" i="9"/>
  <c r="Y30" i="9"/>
  <c r="Z30" i="9" s="1"/>
  <c r="AA30" i="9" s="1"/>
  <c r="I30" i="9"/>
  <c r="I29" i="9" s="1"/>
  <c r="H69" i="9"/>
  <c r="H67" i="9" s="1"/>
  <c r="P15" i="9"/>
  <c r="Q15" i="9" s="1"/>
  <c r="Y75" i="9"/>
  <c r="Z75" i="9" s="1"/>
  <c r="AA75" i="9" s="1"/>
  <c r="Y71" i="9"/>
  <c r="Y69" i="9"/>
  <c r="Z69" i="9" s="1"/>
  <c r="AA69" i="9" s="1"/>
  <c r="Y66" i="9"/>
  <c r="Z66" i="9" s="1"/>
  <c r="AA66" i="9" s="1"/>
  <c r="Y65" i="9"/>
  <c r="Z65" i="9" s="1"/>
  <c r="AA65" i="9" s="1"/>
  <c r="Y62" i="9"/>
  <c r="Z62" i="9" s="1"/>
  <c r="AA62" i="9" s="1"/>
  <c r="Y57" i="9"/>
  <c r="Z57" i="9" s="1"/>
  <c r="AA57" i="9" s="1"/>
  <c r="Y54" i="9"/>
  <c r="Y43" i="9"/>
  <c r="Y39" i="9"/>
  <c r="Y36" i="9"/>
  <c r="Z36" i="9" s="1"/>
  <c r="AA36" i="9" s="1"/>
  <c r="Y34" i="9"/>
  <c r="Z34" i="9" s="1"/>
  <c r="AA34" i="9" s="1"/>
  <c r="Y32" i="9"/>
  <c r="Z32" i="9" s="1"/>
  <c r="AA32" i="9" s="1"/>
  <c r="Y28" i="9"/>
  <c r="Z28" i="9" s="1"/>
  <c r="AA28" i="9" s="1"/>
  <c r="Y19" i="9"/>
  <c r="Y16" i="9"/>
  <c r="Z16" i="9" s="1"/>
  <c r="AA16" i="9" s="1"/>
  <c r="Y15" i="9"/>
  <c r="Z15" i="9" s="1"/>
  <c r="AA15" i="9" s="1"/>
  <c r="Y13" i="9"/>
  <c r="Z13" i="9" s="1"/>
  <c r="AA13" i="9" s="1"/>
  <c r="Y11" i="9"/>
  <c r="Z11" i="9" s="1"/>
  <c r="AA11" i="9" s="1"/>
  <c r="Y8" i="9"/>
  <c r="H42" i="9"/>
  <c r="J42" i="9"/>
  <c r="K42" i="9"/>
  <c r="L42" i="9"/>
  <c r="M42" i="9"/>
  <c r="N42" i="9"/>
  <c r="O42" i="9"/>
  <c r="P42" i="9"/>
  <c r="Q42" i="9"/>
  <c r="I36" i="9"/>
  <c r="G36" i="9" s="1"/>
  <c r="Q36" i="9" s="1"/>
  <c r="Q35" i="9" s="1"/>
  <c r="I33" i="9"/>
  <c r="I32" i="9"/>
  <c r="I19" i="9"/>
  <c r="I16" i="9"/>
  <c r="I13" i="9"/>
  <c r="I9" i="9"/>
  <c r="I8" i="9"/>
  <c r="J67" i="9"/>
  <c r="K67" i="9"/>
  <c r="L67" i="9"/>
  <c r="M67" i="9"/>
  <c r="N67" i="9"/>
  <c r="P67" i="9"/>
  <c r="I71" i="9"/>
  <c r="G71" i="9" s="1"/>
  <c r="I43" i="9"/>
  <c r="G43" i="9" s="1"/>
  <c r="G42" i="9" s="1"/>
  <c r="H55" i="9"/>
  <c r="W101" i="9"/>
  <c r="H86" i="9"/>
  <c r="J61" i="9"/>
  <c r="K61" i="9"/>
  <c r="L61" i="9"/>
  <c r="M61" i="9"/>
  <c r="N61" i="9"/>
  <c r="Q61" i="9"/>
  <c r="I66" i="9"/>
  <c r="G66" i="9" s="1"/>
  <c r="H34" i="9"/>
  <c r="I34" i="9" s="1"/>
  <c r="H64" i="9"/>
  <c r="H61" i="9" s="1"/>
  <c r="H24" i="9"/>
  <c r="H12" i="9"/>
  <c r="I12" i="9" s="1"/>
  <c r="I31" i="9" l="1"/>
  <c r="H31" i="9"/>
  <c r="G30" i="9"/>
  <c r="G29" i="9" s="1"/>
  <c r="I35" i="9"/>
  <c r="I69" i="9"/>
  <c r="G69" i="9" s="1"/>
  <c r="Z54" i="9"/>
  <c r="AA54" i="9" s="1"/>
  <c r="Y94" i="9"/>
  <c r="Z19" i="9"/>
  <c r="AA19" i="9" s="1"/>
  <c r="Z71" i="9"/>
  <c r="AA71" i="9" s="1"/>
  <c r="Z8" i="9"/>
  <c r="Z94" i="9" s="1"/>
  <c r="I42" i="9"/>
  <c r="AA8" i="9" l="1"/>
  <c r="AA94" i="9" s="1"/>
  <c r="L8" i="9"/>
  <c r="P89" i="9"/>
  <c r="P88" i="9" s="1"/>
  <c r="P83" i="9"/>
  <c r="P76" i="9"/>
  <c r="P74" i="9"/>
  <c r="P72" i="9"/>
  <c r="P51" i="9"/>
  <c r="P44" i="9"/>
  <c r="P37" i="9"/>
  <c r="P27" i="9"/>
  <c r="P23" i="9"/>
  <c r="P21" i="9"/>
  <c r="P18" i="9"/>
  <c r="P17" i="9" s="1"/>
  <c r="P14" i="9"/>
  <c r="P10" i="9"/>
  <c r="P7" i="9"/>
  <c r="Q89" i="9"/>
  <c r="Q88" i="9" s="1"/>
  <c r="Q85" i="9"/>
  <c r="Q80" i="9"/>
  <c r="Q51" i="9"/>
  <c r="Q27" i="9"/>
  <c r="Q23" i="9"/>
  <c r="H46" i="9"/>
  <c r="P6" i="9" l="1"/>
  <c r="P20" i="9"/>
  <c r="P5" i="9" l="1"/>
  <c r="I81" i="9"/>
  <c r="G81" i="9" s="1"/>
  <c r="P81" i="9" s="1"/>
  <c r="P80" i="9" s="1"/>
  <c r="H87" i="9" l="1"/>
  <c r="N87" i="9" s="1"/>
  <c r="I65" i="9"/>
  <c r="G65" i="9" s="1"/>
  <c r="S63" i="9"/>
  <c r="I63" i="9"/>
  <c r="G63" i="9" s="1"/>
  <c r="I64" i="9"/>
  <c r="G64" i="9" s="1"/>
  <c r="P64" i="9" s="1"/>
  <c r="P61" i="9" s="1"/>
  <c r="H10" i="9"/>
  <c r="J10" i="9"/>
  <c r="K10" i="9"/>
  <c r="L10" i="9"/>
  <c r="M10" i="9"/>
  <c r="N10" i="9"/>
  <c r="O10" i="9"/>
  <c r="G13" i="9"/>
  <c r="Q13" i="9" s="1"/>
  <c r="H23" i="9"/>
  <c r="I23" i="9"/>
  <c r="J23" i="9"/>
  <c r="K23" i="9"/>
  <c r="L23" i="9"/>
  <c r="M23" i="9"/>
  <c r="N23" i="9"/>
  <c r="O23" i="9"/>
  <c r="G24" i="9"/>
  <c r="G22" i="9"/>
  <c r="Q22" i="9" s="1"/>
  <c r="Q21" i="9" s="1"/>
  <c r="Q20" i="9" s="1"/>
  <c r="O21" i="9"/>
  <c r="N21" i="9"/>
  <c r="M21" i="9"/>
  <c r="L21" i="9"/>
  <c r="K21" i="9"/>
  <c r="J21" i="9"/>
  <c r="H21" i="9"/>
  <c r="H7" i="9"/>
  <c r="J7" i="9"/>
  <c r="K7" i="9"/>
  <c r="L7" i="9"/>
  <c r="M7" i="9"/>
  <c r="N7" i="9"/>
  <c r="S12" i="9"/>
  <c r="G21" i="9" l="1"/>
  <c r="G23" i="9"/>
  <c r="M20" i="9"/>
  <c r="K20" i="9"/>
  <c r="H20" i="9"/>
  <c r="O20" i="9"/>
  <c r="L20" i="9"/>
  <c r="N20" i="9"/>
  <c r="J20" i="9"/>
  <c r="I21" i="9"/>
  <c r="I20" i="9" s="1"/>
  <c r="G20" i="9" l="1"/>
  <c r="I46" i="9"/>
  <c r="G46" i="9" s="1"/>
  <c r="I47" i="9"/>
  <c r="G47" i="9" s="1"/>
  <c r="Q47" i="9" s="1"/>
  <c r="I48" i="9"/>
  <c r="G48" i="9" s="1"/>
  <c r="Q48" i="9" s="1"/>
  <c r="I50" i="9"/>
  <c r="G50" i="9" s="1"/>
  <c r="Q50" i="9" s="1"/>
  <c r="I45" i="9"/>
  <c r="G45" i="9" s="1"/>
  <c r="Q44" i="9" l="1"/>
  <c r="O46" i="9"/>
  <c r="I49" i="9"/>
  <c r="G49" i="9" s="1"/>
  <c r="I77" i="9" l="1"/>
  <c r="I75" i="9"/>
  <c r="I73" i="9"/>
  <c r="I70" i="9"/>
  <c r="I68" i="9"/>
  <c r="I62" i="9"/>
  <c r="I61" i="9" s="1"/>
  <c r="I55" i="9"/>
  <c r="I54" i="9"/>
  <c r="I67" i="9" l="1"/>
  <c r="I84" i="9"/>
  <c r="G84" i="9" s="1"/>
  <c r="Q84" i="9" s="1"/>
  <c r="Q83" i="9" s="1"/>
  <c r="Q79" i="9" s="1"/>
  <c r="O89" i="9" l="1"/>
  <c r="O88" i="9" s="1"/>
  <c r="N89" i="9"/>
  <c r="N88" i="9" s="1"/>
  <c r="M89" i="9"/>
  <c r="M88" i="9" s="1"/>
  <c r="L89" i="9"/>
  <c r="L88" i="9" s="1"/>
  <c r="K89" i="9"/>
  <c r="K88" i="9" s="1"/>
  <c r="J89" i="9"/>
  <c r="J88" i="9" s="1"/>
  <c r="J87" i="9" s="1"/>
  <c r="I89" i="9"/>
  <c r="I88" i="9" s="1"/>
  <c r="I87" i="9" s="1"/>
  <c r="H89" i="9"/>
  <c r="H88" i="9" s="1"/>
  <c r="G89" i="9"/>
  <c r="G88" i="9" s="1"/>
  <c r="I86" i="9"/>
  <c r="I85" i="9" s="1"/>
  <c r="N85" i="9"/>
  <c r="M85" i="9"/>
  <c r="L85" i="9"/>
  <c r="K85" i="9"/>
  <c r="J85" i="9"/>
  <c r="H85" i="9"/>
  <c r="G83" i="9"/>
  <c r="O83" i="9"/>
  <c r="N83" i="9"/>
  <c r="M83" i="9"/>
  <c r="L83" i="9"/>
  <c r="K83" i="9"/>
  <c r="J83" i="9"/>
  <c r="H83" i="9"/>
  <c r="I82" i="9"/>
  <c r="G82" i="9" s="1"/>
  <c r="O80" i="9"/>
  <c r="N80" i="9"/>
  <c r="M80" i="9"/>
  <c r="L80" i="9"/>
  <c r="K80" i="9"/>
  <c r="J80" i="9"/>
  <c r="H80" i="9"/>
  <c r="I76" i="9"/>
  <c r="O76" i="9"/>
  <c r="N76" i="9"/>
  <c r="M76" i="9"/>
  <c r="L76" i="9"/>
  <c r="K76" i="9"/>
  <c r="J76" i="9"/>
  <c r="H76" i="9"/>
  <c r="G75" i="9"/>
  <c r="Q75" i="9" s="1"/>
  <c r="Q74" i="9" s="1"/>
  <c r="O74" i="9"/>
  <c r="N74" i="9"/>
  <c r="M74" i="9"/>
  <c r="L74" i="9"/>
  <c r="K74" i="9"/>
  <c r="J74" i="9"/>
  <c r="H74" i="9"/>
  <c r="I72" i="9"/>
  <c r="O72" i="9"/>
  <c r="N72" i="9"/>
  <c r="M72" i="9"/>
  <c r="L72" i="9"/>
  <c r="K72" i="9"/>
  <c r="J72" i="9"/>
  <c r="H72" i="9"/>
  <c r="G70" i="9"/>
  <c r="O67" i="9" s="1"/>
  <c r="G68" i="9"/>
  <c r="Q68" i="9" s="1"/>
  <c r="Q67" i="9" s="1"/>
  <c r="G62" i="9"/>
  <c r="M53" i="9"/>
  <c r="G55" i="9"/>
  <c r="Q55" i="9" s="1"/>
  <c r="G54" i="9"/>
  <c r="Q54" i="9" s="1"/>
  <c r="O53" i="9"/>
  <c r="N53" i="9"/>
  <c r="L53" i="9"/>
  <c r="K53" i="9"/>
  <c r="J53" i="9"/>
  <c r="H53" i="9"/>
  <c r="O51" i="9"/>
  <c r="N51" i="9"/>
  <c r="M51" i="9"/>
  <c r="L51" i="9"/>
  <c r="K51" i="9"/>
  <c r="J51" i="9"/>
  <c r="O44" i="9"/>
  <c r="N44" i="9"/>
  <c r="M44" i="9"/>
  <c r="L44" i="9"/>
  <c r="K44" i="9"/>
  <c r="J44" i="9"/>
  <c r="J41" i="9" s="1"/>
  <c r="H44" i="9"/>
  <c r="I39" i="9"/>
  <c r="I38" i="9" s="1"/>
  <c r="O37" i="9"/>
  <c r="N37" i="9"/>
  <c r="M37" i="9"/>
  <c r="L37" i="9"/>
  <c r="K37" i="9"/>
  <c r="J37" i="9"/>
  <c r="H37" i="9"/>
  <c r="G34" i="9"/>
  <c r="Q34" i="9" s="1"/>
  <c r="G33" i="9"/>
  <c r="Q33" i="9" s="1"/>
  <c r="G32" i="9"/>
  <c r="I27" i="9"/>
  <c r="I26" i="9" s="1"/>
  <c r="O27" i="9"/>
  <c r="O26" i="9" s="1"/>
  <c r="N27" i="9"/>
  <c r="N26" i="9" s="1"/>
  <c r="M27" i="9"/>
  <c r="M26" i="9" s="1"/>
  <c r="L27" i="9"/>
  <c r="L26" i="9" s="1"/>
  <c r="K27" i="9"/>
  <c r="K26" i="9" s="1"/>
  <c r="J27" i="9"/>
  <c r="J26" i="9" s="1"/>
  <c r="H27" i="9"/>
  <c r="H26" i="9" s="1"/>
  <c r="I18" i="9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G16" i="9"/>
  <c r="Q14" i="9" s="1"/>
  <c r="O14" i="9"/>
  <c r="N14" i="9"/>
  <c r="M14" i="9"/>
  <c r="L14" i="9"/>
  <c r="K14" i="9"/>
  <c r="J14" i="9"/>
  <c r="H14" i="9"/>
  <c r="I11" i="9"/>
  <c r="G9" i="9"/>
  <c r="K41" i="9" l="1"/>
  <c r="L41" i="9"/>
  <c r="N41" i="9"/>
  <c r="M41" i="9"/>
  <c r="Q53" i="9"/>
  <c r="Q31" i="9"/>
  <c r="Q26" i="9" s="1"/>
  <c r="P31" i="9"/>
  <c r="P26" i="9" s="1"/>
  <c r="P25" i="9" s="1"/>
  <c r="G61" i="9"/>
  <c r="O62" i="9"/>
  <c r="O61" i="9" s="1"/>
  <c r="O41" i="9" s="1"/>
  <c r="N25" i="9"/>
  <c r="O25" i="9"/>
  <c r="L25" i="9"/>
  <c r="G67" i="9"/>
  <c r="G39" i="9"/>
  <c r="G35" i="9"/>
  <c r="O7" i="9"/>
  <c r="O6" i="9" s="1"/>
  <c r="O5" i="9" s="1"/>
  <c r="G74" i="9"/>
  <c r="G11" i="9"/>
  <c r="Q11" i="9" s="1"/>
  <c r="I10" i="9"/>
  <c r="G8" i="9"/>
  <c r="Q8" i="9" s="1"/>
  <c r="Q7" i="9" s="1"/>
  <c r="I7" i="9"/>
  <c r="H79" i="9"/>
  <c r="N79" i="9"/>
  <c r="K79" i="9"/>
  <c r="G14" i="9"/>
  <c r="L6" i="9"/>
  <c r="L5" i="9" s="1"/>
  <c r="K6" i="9"/>
  <c r="K5" i="9" s="1"/>
  <c r="G27" i="9"/>
  <c r="M25" i="9"/>
  <c r="M6" i="9"/>
  <c r="M5" i="9" s="1"/>
  <c r="I37" i="9"/>
  <c r="N6" i="9"/>
  <c r="N5" i="9" s="1"/>
  <c r="G86" i="9"/>
  <c r="P86" i="9" s="1"/>
  <c r="P85" i="9" s="1"/>
  <c r="P79" i="9" s="1"/>
  <c r="M79" i="9"/>
  <c r="H6" i="9"/>
  <c r="H5" i="9" s="1"/>
  <c r="J6" i="9"/>
  <c r="J5" i="9" s="1"/>
  <c r="G73" i="9"/>
  <c r="Q73" i="9" s="1"/>
  <c r="Q72" i="9" s="1"/>
  <c r="I83" i="9"/>
  <c r="G19" i="9"/>
  <c r="Q19" i="9" s="1"/>
  <c r="Q18" i="9" s="1"/>
  <c r="Q17" i="9" s="1"/>
  <c r="G53" i="9"/>
  <c r="G77" i="9"/>
  <c r="G12" i="9"/>
  <c r="Q12" i="9" s="1"/>
  <c r="I80" i="9"/>
  <c r="L79" i="9"/>
  <c r="K25" i="9"/>
  <c r="J25" i="9"/>
  <c r="H25" i="9"/>
  <c r="J79" i="9"/>
  <c r="G80" i="9"/>
  <c r="G31" i="9"/>
  <c r="G44" i="9"/>
  <c r="I53" i="9"/>
  <c r="I74" i="9"/>
  <c r="I14" i="9"/>
  <c r="I44" i="9"/>
  <c r="Q10" i="9" l="1"/>
  <c r="Q6" i="9" s="1"/>
  <c r="Q5" i="9" s="1"/>
  <c r="Q76" i="9"/>
  <c r="Q41" i="9" s="1"/>
  <c r="G38" i="9"/>
  <c r="Q39" i="9"/>
  <c r="Q38" i="9" s="1"/>
  <c r="Q37" i="9" s="1"/>
  <c r="Q25" i="9" s="1"/>
  <c r="G26" i="9"/>
  <c r="G37" i="9"/>
  <c r="I25" i="9"/>
  <c r="G18" i="9"/>
  <c r="G17" i="9" s="1"/>
  <c r="G72" i="9"/>
  <c r="G76" i="9"/>
  <c r="G7" i="9"/>
  <c r="G85" i="9"/>
  <c r="G79" i="9" s="1"/>
  <c r="O85" i="9"/>
  <c r="O79" i="9" s="1"/>
  <c r="O40" i="9" s="1"/>
  <c r="O4" i="9" s="1"/>
  <c r="G10" i="9"/>
  <c r="N40" i="9"/>
  <c r="N4" i="9" s="1"/>
  <c r="I6" i="9"/>
  <c r="I5" i="9" s="1"/>
  <c r="K40" i="9"/>
  <c r="K4" i="9" s="1"/>
  <c r="I79" i="9"/>
  <c r="J40" i="9"/>
  <c r="J4" i="9" s="1"/>
  <c r="M40" i="9"/>
  <c r="M4" i="9" s="1"/>
  <c r="L40" i="9"/>
  <c r="L4" i="9" s="1"/>
  <c r="Q40" i="9" l="1"/>
  <c r="Q4" i="9"/>
  <c r="G25" i="9"/>
  <c r="G6" i="9"/>
  <c r="G5" i="9" s="1"/>
  <c r="E4" i="6"/>
  <c r="E5" i="6"/>
  <c r="E6" i="6"/>
  <c r="E7" i="6"/>
  <c r="E8" i="6"/>
  <c r="E9" i="6"/>
  <c r="C10" i="6"/>
  <c r="D10" i="6"/>
  <c r="E10" i="6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K19" i="1" s="1"/>
  <c r="O25" i="1"/>
  <c r="P25" i="1" s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M43" i="1" s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AE50" i="1"/>
  <c r="O51" i="1"/>
  <c r="K51" i="1" s="1"/>
  <c r="L51" i="1" s="1"/>
  <c r="K52" i="1"/>
  <c r="L52" i="1" s="1"/>
  <c r="M52" i="1" s="1"/>
  <c r="O53" i="1"/>
  <c r="K53" i="1" s="1"/>
  <c r="L53" i="1" s="1"/>
  <c r="M53" i="1" s="1"/>
  <c r="K54" i="1"/>
  <c r="L54" i="1" s="1"/>
  <c r="K55" i="1"/>
  <c r="L55" i="1" s="1"/>
  <c r="M55" i="1" s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/>
  <c r="K71" i="1"/>
  <c r="L71" i="1" s="1"/>
  <c r="M71" i="1" s="1"/>
  <c r="L73" i="1"/>
  <c r="M73" i="1"/>
  <c r="N74" i="1"/>
  <c r="O74" i="1"/>
  <c r="K75" i="1"/>
  <c r="N77" i="1"/>
  <c r="O77" i="1"/>
  <c r="P77" i="1"/>
  <c r="Q77" i="1"/>
  <c r="R77" i="1"/>
  <c r="S77" i="1"/>
  <c r="K78" i="1"/>
  <c r="L78" i="1" s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O85" i="1"/>
  <c r="P85" i="1" s="1"/>
  <c r="K86" i="1"/>
  <c r="L86" i="1" s="1"/>
  <c r="O87" i="1"/>
  <c r="P87" i="1" s="1"/>
  <c r="K88" i="1"/>
  <c r="L88" i="1" s="1"/>
  <c r="M88" i="1" s="1"/>
  <c r="K89" i="1"/>
  <c r="N90" i="1"/>
  <c r="O90" i="1"/>
  <c r="P90" i="1"/>
  <c r="Q90" i="1"/>
  <c r="R90" i="1"/>
  <c r="S90" i="1"/>
  <c r="K91" i="1"/>
  <c r="L91" i="1" s="1"/>
  <c r="O92" i="1"/>
  <c r="Q92" i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R110" i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K112" i="1"/>
  <c r="N112" i="1"/>
  <c r="O112" i="1"/>
  <c r="P112" i="1"/>
  <c r="P109" i="1" s="1"/>
  <c r="Q112" i="1"/>
  <c r="R112" i="1"/>
  <c r="S112" i="1"/>
  <c r="L113" i="1"/>
  <c r="L112" i="1" s="1"/>
  <c r="O114" i="1"/>
  <c r="Q114" i="1" s="1"/>
  <c r="AE115" i="1"/>
  <c r="AF115" i="1"/>
  <c r="K4" i="3"/>
  <c r="K2" i="3" s="1"/>
  <c r="M8" i="3"/>
  <c r="N8" i="3"/>
  <c r="O8" i="3"/>
  <c r="P8" i="3"/>
  <c r="Q8" i="3"/>
  <c r="R8" i="3"/>
  <c r="U8" i="3"/>
  <c r="J9" i="3"/>
  <c r="J8" i="3"/>
  <c r="K9" i="3"/>
  <c r="U9" i="3"/>
  <c r="K11" i="3"/>
  <c r="L11" i="3" s="1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 s="1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5" i="3" s="1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J57" i="3"/>
  <c r="J55" i="3" s="1"/>
  <c r="J2" i="3" s="1"/>
  <c r="J59" i="3"/>
  <c r="J58" i="3"/>
  <c r="M59" i="3"/>
  <c r="M58" i="3" s="1"/>
  <c r="N59" i="3"/>
  <c r="N58" i="3" s="1"/>
  <c r="O59" i="3"/>
  <c r="O58" i="3"/>
  <c r="P59" i="3"/>
  <c r="P58" i="3" s="1"/>
  <c r="Q59" i="3"/>
  <c r="Q58" i="3"/>
  <c r="R59" i="3"/>
  <c r="R58" i="3" s="1"/>
  <c r="K60" i="3"/>
  <c r="K59" i="3" s="1"/>
  <c r="K58" i="3" s="1"/>
  <c r="L60" i="3"/>
  <c r="L59" i="3"/>
  <c r="L58" i="3"/>
  <c r="K62" i="3"/>
  <c r="L62" i="3" s="1"/>
  <c r="J62" i="3" s="1"/>
  <c r="K55" i="3"/>
  <c r="J64" i="3"/>
  <c r="M64" i="3"/>
  <c r="N64" i="3"/>
  <c r="O64" i="3"/>
  <c r="P64" i="3"/>
  <c r="Q64" i="3"/>
  <c r="R64" i="3"/>
  <c r="K65" i="3"/>
  <c r="L65" i="3"/>
  <c r="L64" i="3" s="1"/>
  <c r="K67" i="3"/>
  <c r="L67" i="3"/>
  <c r="J69" i="3"/>
  <c r="M69" i="3"/>
  <c r="N69" i="3"/>
  <c r="O69" i="3"/>
  <c r="P69" i="3"/>
  <c r="Q69" i="3"/>
  <c r="R69" i="3"/>
  <c r="K70" i="3"/>
  <c r="K69" i="3" s="1"/>
  <c r="J71" i="3"/>
  <c r="M71" i="3"/>
  <c r="N71" i="3"/>
  <c r="O71" i="3"/>
  <c r="O63" i="3" s="1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Q90" i="3"/>
  <c r="R90" i="3"/>
  <c r="Q94" i="3"/>
  <c r="R94" i="3"/>
  <c r="K95" i="3"/>
  <c r="L95" i="3" s="1"/>
  <c r="J97" i="3"/>
  <c r="J94" i="3" s="1"/>
  <c r="K97" i="3"/>
  <c r="L97" i="3" s="1"/>
  <c r="M97" i="3"/>
  <c r="M94" i="3" s="1"/>
  <c r="M89" i="3" s="1"/>
  <c r="N97" i="3"/>
  <c r="N94" i="3"/>
  <c r="O97" i="3"/>
  <c r="O94" i="3"/>
  <c r="P97" i="3"/>
  <c r="P94" i="3"/>
  <c r="J99" i="3"/>
  <c r="M99" i="3"/>
  <c r="N99" i="3"/>
  <c r="O99" i="3"/>
  <c r="P99" i="3"/>
  <c r="Q99" i="3"/>
  <c r="R99" i="3"/>
  <c r="K100" i="3"/>
  <c r="K99" i="3"/>
  <c r="L100" i="3"/>
  <c r="L99" i="3" s="1"/>
  <c r="L89" i="1"/>
  <c r="M89" i="1"/>
  <c r="M63" i="1"/>
  <c r="K97" i="1"/>
  <c r="L98" i="1"/>
  <c r="M98" i="1" s="1"/>
  <c r="M97" i="1" s="1"/>
  <c r="L97" i="1"/>
  <c r="M64" i="1"/>
  <c r="M37" i="1"/>
  <c r="M36" i="1"/>
  <c r="R76" i="1"/>
  <c r="L62" i="1"/>
  <c r="L56" i="1"/>
  <c r="L72" i="3"/>
  <c r="Q109" i="1"/>
  <c r="L4" i="3" l="1"/>
  <c r="K29" i="3"/>
  <c r="Q76" i="1"/>
  <c r="L26" i="3"/>
  <c r="L25" i="3" s="1"/>
  <c r="K64" i="3"/>
  <c r="Q63" i="3"/>
  <c r="R63" i="3"/>
  <c r="Q5" i="1"/>
  <c r="L109" i="1"/>
  <c r="AF108" i="1" s="1"/>
  <c r="L83" i="3"/>
  <c r="L82" i="3" s="1"/>
  <c r="M63" i="3"/>
  <c r="M56" i="3" s="1"/>
  <c r="M3" i="3" s="1"/>
  <c r="M34" i="1"/>
  <c r="L70" i="3"/>
  <c r="L69" i="3" s="1"/>
  <c r="M113" i="1"/>
  <c r="M112" i="1" s="1"/>
  <c r="M109" i="1" s="1"/>
  <c r="K74" i="1"/>
  <c r="L74" i="1" s="1"/>
  <c r="M74" i="1" s="1"/>
  <c r="M42" i="1"/>
  <c r="R48" i="1"/>
  <c r="P89" i="3"/>
  <c r="N48" i="1"/>
  <c r="L36" i="3"/>
  <c r="M51" i="1"/>
  <c r="M101" i="1"/>
  <c r="M100" i="1" s="1"/>
  <c r="J89" i="3"/>
  <c r="M83" i="1"/>
  <c r="M60" i="1"/>
  <c r="M59" i="1" s="1"/>
  <c r="O109" i="1"/>
  <c r="M50" i="1"/>
  <c r="L49" i="1"/>
  <c r="Q3" i="1"/>
  <c r="M84" i="1"/>
  <c r="L35" i="3"/>
  <c r="S5" i="1"/>
  <c r="O7" i="3"/>
  <c r="O5" i="3" s="1"/>
  <c r="O3" i="3" s="1"/>
  <c r="M86" i="1"/>
  <c r="P19" i="1"/>
  <c r="P63" i="3"/>
  <c r="M19" i="1"/>
  <c r="N5" i="1"/>
  <c r="S76" i="1"/>
  <c r="K49" i="1"/>
  <c r="K100" i="1"/>
  <c r="M78" i="1"/>
  <c r="M107" i="1"/>
  <c r="N63" i="3"/>
  <c r="R5" i="1"/>
  <c r="K41" i="1"/>
  <c r="L41" i="1" s="1"/>
  <c r="M41" i="1" s="1"/>
  <c r="O89" i="3"/>
  <c r="O56" i="3" s="1"/>
  <c r="L90" i="1"/>
  <c r="M7" i="3"/>
  <c r="M5" i="3" s="1"/>
  <c r="M62" i="1"/>
  <c r="J7" i="3"/>
  <c r="J5" i="3" s="1"/>
  <c r="S4" i="3" s="1"/>
  <c r="M95" i="1"/>
  <c r="R109" i="1"/>
  <c r="N76" i="1"/>
  <c r="O76" i="1"/>
  <c r="P48" i="1"/>
  <c r="L100" i="1"/>
  <c r="K81" i="1"/>
  <c r="L81" i="1" s="1"/>
  <c r="L42" i="1"/>
  <c r="P7" i="3"/>
  <c r="P5" i="3" s="1"/>
  <c r="L31" i="1"/>
  <c r="L29" i="3"/>
  <c r="Q48" i="1"/>
  <c r="L84" i="1"/>
  <c r="N89" i="3"/>
  <c r="N56" i="3" s="1"/>
  <c r="N109" i="1"/>
  <c r="K94" i="3"/>
  <c r="K89" i="3" s="1"/>
  <c r="K104" i="1"/>
  <c r="L24" i="1"/>
  <c r="M24" i="1" s="1"/>
  <c r="Q7" i="3"/>
  <c r="Q5" i="3" s="1"/>
  <c r="Q3" i="3" s="1"/>
  <c r="R89" i="3"/>
  <c r="R56" i="3" s="1"/>
  <c r="M32" i="1"/>
  <c r="M31" i="1" s="1"/>
  <c r="Q89" i="3"/>
  <c r="Q56" i="3" s="1"/>
  <c r="L94" i="1"/>
  <c r="M94" i="1" s="1"/>
  <c r="N7" i="3"/>
  <c r="N5" i="3" s="1"/>
  <c r="K90" i="1"/>
  <c r="M99" i="1"/>
  <c r="L94" i="3"/>
  <c r="L89" i="3" s="1"/>
  <c r="R7" i="3"/>
  <c r="R5" i="3" s="1"/>
  <c r="P76" i="1"/>
  <c r="L82" i="1"/>
  <c r="K77" i="1"/>
  <c r="L39" i="1"/>
  <c r="M40" i="1"/>
  <c r="M39" i="1" s="1"/>
  <c r="K6" i="1"/>
  <c r="K5" i="1" s="1"/>
  <c r="L13" i="1"/>
  <c r="M13" i="1" s="1"/>
  <c r="L6" i="1"/>
  <c r="M7" i="1"/>
  <c r="M91" i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K70" i="1"/>
  <c r="L66" i="1"/>
  <c r="M66" i="1"/>
  <c r="K40" i="3"/>
  <c r="L41" i="3"/>
  <c r="L40" i="3" s="1"/>
  <c r="L2" i="1"/>
  <c r="K47" i="1"/>
  <c r="L79" i="1"/>
  <c r="M79" i="1" s="1"/>
  <c r="O48" i="1"/>
  <c r="P6" i="1"/>
  <c r="L55" i="3"/>
  <c r="L2" i="3" s="1"/>
  <c r="P30" i="1"/>
  <c r="N3" i="1" l="1"/>
  <c r="P56" i="3"/>
  <c r="P5" i="1"/>
  <c r="P3" i="1" s="1"/>
  <c r="M90" i="1"/>
  <c r="L77" i="1"/>
  <c r="P3" i="3"/>
  <c r="L19" i="1"/>
  <c r="R3" i="1"/>
  <c r="M49" i="1"/>
  <c r="L5" i="1"/>
  <c r="AF5" i="1" s="1"/>
  <c r="J3" i="3"/>
  <c r="S2" i="3" s="1"/>
  <c r="L104" i="1"/>
  <c r="M104" i="1" s="1"/>
  <c r="S3" i="1"/>
  <c r="K76" i="1"/>
  <c r="AE75" i="1" s="1"/>
  <c r="L76" i="1"/>
  <c r="AF75" i="1" s="1"/>
  <c r="M81" i="1"/>
  <c r="R3" i="3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M70" i="1"/>
  <c r="M69" i="1" s="1"/>
  <c r="L56" i="3"/>
  <c r="O3" i="1"/>
  <c r="M6" i="1"/>
  <c r="M5" i="1" s="1"/>
  <c r="N3" i="3"/>
  <c r="M48" i="1" l="1"/>
  <c r="K3" i="1"/>
  <c r="L3" i="3"/>
  <c r="L3" i="1"/>
  <c r="AF3" i="1" s="1"/>
  <c r="M3" i="1"/>
  <c r="AE47" i="1"/>
  <c r="AE3" i="1"/>
  <c r="T4" i="3"/>
  <c r="K3" i="3"/>
  <c r="T2" i="3" s="1"/>
  <c r="H51" i="9" l="1"/>
  <c r="H41" i="9" s="1"/>
  <c r="I51" i="9"/>
  <c r="I41" i="9" s="1"/>
  <c r="I40" i="9" l="1"/>
  <c r="I4" i="9" s="1"/>
  <c r="H40" i="9"/>
  <c r="H4" i="9" s="1"/>
  <c r="G51" i="9"/>
  <c r="G41" i="9" s="1"/>
  <c r="U4" i="9" l="1"/>
  <c r="V10" i="9"/>
  <c r="V13" i="9" s="1"/>
  <c r="G40" i="9"/>
  <c r="G4" i="9" s="1"/>
  <c r="P53" i="9" l="1"/>
  <c r="P41" i="9" l="1"/>
  <c r="P40" i="9" s="1"/>
  <c r="P4" i="9" s="1"/>
</calcChain>
</file>

<file path=xl/sharedStrings.xml><?xml version="1.0" encoding="utf-8"?>
<sst xmlns="http://schemas.openxmlformats.org/spreadsheetml/2006/main" count="2220" uniqueCount="1026">
  <si>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</si>
  <si>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</si>
  <si>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</si>
  <si>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</si>
  <si>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</si>
  <si>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</si>
  <si>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</si>
  <si>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</si>
  <si>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</si>
  <si>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</si>
  <si>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</si>
  <si>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</si>
  <si>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</si>
  <si>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</si>
  <si>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</si>
  <si>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</si>
  <si>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</si>
  <si>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</si>
  <si>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</si>
  <si>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</si>
  <si>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</si>
  <si>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</si>
  <si>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</si>
  <si>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</si>
  <si>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</si>
  <si>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</si>
  <si>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</si>
  <si>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</si>
  <si>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</si>
  <si>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</si>
  <si>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</si>
  <si>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</si>
  <si>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</si>
  <si>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</si>
  <si>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</si>
  <si>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</si>
  <si>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</si>
  <si>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</si>
  <si>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</si>
  <si>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</si>
  <si>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</si>
  <si>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</si>
  <si>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</si>
  <si>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</si>
  <si>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</si>
  <si>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</si>
  <si>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</si>
  <si>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</si>
  <si>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</si>
  <si>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</si>
  <si>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</si>
  <si>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</si>
  <si>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</si>
  <si>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</si>
  <si>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</si>
  <si>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</si>
  <si>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</si>
  <si>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</si>
  <si>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</si>
  <si>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</si>
  <si>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</si>
  <si>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</si>
  <si>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</si>
  <si>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</si>
  <si>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</si>
  <si>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</si>
  <si>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</si>
  <si>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</si>
  <si>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</si>
  <si>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</si>
  <si>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</si>
  <si>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</si>
  <si>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</si>
  <si>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</si>
  <si>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</si>
  <si>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</si>
  <si>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</si>
  <si>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</si>
  <si>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</si>
  <si>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</si>
  <si>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</si>
  <si>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</si>
  <si>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</si>
  <si>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</si>
  <si>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</si>
  <si>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</si>
  <si>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</si>
  <si>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</si>
  <si>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</si>
  <si>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</si>
  <si>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</si>
  <si>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</si>
  <si>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</si>
  <si>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</si>
  <si>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</si>
  <si>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</si>
  <si>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</si>
  <si>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</si>
  <si>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</si>
  <si>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</si>
  <si>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</si>
  <si>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</si>
  <si>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</si>
  <si>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</si>
  <si>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</si>
  <si>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</si>
  <si>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</si>
  <si>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</si>
  <si>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</si>
  <si>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</si>
  <si>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</si>
  <si>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</si>
  <si>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</si>
  <si>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</si>
  <si>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</si>
  <si>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</si>
  <si>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</si>
  <si>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</si>
  <si>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</si>
  <si>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</si>
  <si>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</si>
  <si>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</si>
  <si>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</si>
  <si>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</si>
  <si>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</si>
  <si>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</si>
  <si>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</si>
  <si>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</si>
  <si>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</si>
  <si>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</si>
  <si>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</si>
  <si>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</si>
  <si>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</si>
  <si>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</si>
  <si>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</si>
  <si>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</si>
  <si>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</si>
  <si>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</si>
  <si>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</si>
  <si>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</si>
  <si>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</si>
  <si>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</si>
  <si>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</si>
  <si>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</si>
  <si>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</si>
  <si>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</si>
  <si>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</si>
  <si>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</si>
  <si>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</si>
  <si>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</si>
  <si>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</si>
  <si>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</si>
  <si>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</si>
  <si>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</si>
  <si>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</si>
  <si>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</si>
  <si>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</si>
  <si>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</si>
  <si>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</si>
  <si>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</si>
  <si>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</si>
  <si>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</si>
  <si>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</si>
  <si>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</si>
  <si>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</si>
  <si>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</si>
  <si>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</si>
  <si>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</si>
  <si>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</si>
  <si>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</si>
  <si>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</si>
  <si>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</si>
  <si>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</si>
  <si>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</si>
  <si>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</si>
  <si>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</si>
  <si>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</si>
  <si>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</si>
  <si>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</si>
  <si>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</si>
  <si>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</si>
  <si>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</si>
  <si>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</si>
  <si>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</si>
  <si>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</si>
  <si>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</si>
  <si>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</si>
  <si>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</si>
  <si>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</si>
  <si>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</si>
  <si>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</si>
  <si>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</si>
  <si>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</si>
  <si>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</si>
  <si>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</si>
  <si>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</si>
  <si>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</si>
  <si>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</si>
  <si>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</si>
  <si>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</si>
  <si>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</si>
  <si>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</si>
  <si>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</si>
  <si>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</si>
  <si>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</si>
  <si>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</si>
  <si>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</si>
  <si>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</si>
  <si>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</si>
  <si>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</si>
  <si>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</si>
  <si>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</si>
  <si>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</si>
  <si>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</si>
  <si>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</si>
  <si>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</si>
  <si>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</si>
  <si>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</si>
  <si>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</si>
  <si>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</si>
  <si>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</si>
  <si>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</si>
  <si>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</si>
  <si>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</si>
  <si>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</si>
  <si>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</si>
  <si>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</si>
  <si>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</si>
  <si>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</si>
  <si>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</si>
  <si>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</si>
  <si>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</si>
  <si>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</si>
  <si>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</si>
  <si>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</si>
  <si>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</si>
  <si>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</si>
  <si>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</si>
  <si>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</si>
  <si>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</si>
  <si>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</si>
  <si>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</si>
  <si>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</si>
  <si>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</si>
  <si>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</si>
  <si>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</si>
  <si>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</si>
  <si>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</si>
  <si>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</si>
  <si>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</si>
  <si>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</si>
  <si>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</si>
  <si>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</si>
  <si>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</si>
  <si>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</si>
  <si>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</si>
  <si>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</si>
  <si>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</si>
  <si>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</si>
  <si>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</si>
  <si>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</si>
  <si>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</si>
  <si>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</si>
  <si>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</si>
  <si>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</si>
  <si>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</si>
  <si>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</si>
  <si>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</si>
  <si>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</si>
  <si>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</si>
  <si>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</si>
  <si>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</si>
  <si>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</si>
  <si>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</si>
  <si>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</si>
  <si>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</si>
  <si>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</si>
  <si>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</si>
  <si>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</si>
  <si>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</si>
  <si>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</si>
  <si>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</si>
  <si>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</si>
  <si>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</si>
  <si>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</si>
  <si>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</si>
  <si>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</si>
  <si>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</si>
  <si>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</si>
  <si>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</si>
  <si>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</si>
  <si>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</si>
  <si>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</si>
  <si>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</si>
  <si>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</si>
  <si>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</si>
  <si>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</si>
  <si>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</si>
  <si>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</si>
  <si>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</si>
  <si>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</si>
  <si>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</si>
  <si>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</si>
  <si>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</si>
  <si>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</si>
  <si>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</si>
  <si>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</si>
  <si>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</si>
  <si>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</si>
  <si>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</si>
  <si>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</si>
  <si>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</si>
  <si>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</si>
  <si>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</si>
  <si>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</si>
  <si>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</si>
  <si>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</si>
  <si>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</si>
  <si>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</si>
  <si>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</si>
  <si>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</si>
  <si>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</si>
  <si>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</si>
  <si>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</si>
  <si>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</si>
  <si>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</si>
  <si>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</si>
  <si>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</si>
  <si>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</si>
  <si>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</si>
  <si>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</si>
  <si>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</si>
  <si>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</si>
  <si>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</si>
  <si>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</si>
  <si>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</si>
  <si>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</si>
  <si>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</si>
  <si>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</si>
  <si>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</si>
  <si>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</si>
  <si>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</si>
  <si>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</si>
  <si>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</si>
  <si>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</si>
  <si>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</si>
  <si>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</si>
  <si>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</si>
  <si>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</si>
  <si>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</si>
  <si>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</si>
  <si>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</si>
  <si>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</si>
  <si>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</si>
  <si>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</si>
  <si>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</si>
  <si>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</si>
  <si>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</si>
  <si>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</si>
  <si>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</si>
  <si>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</si>
  <si>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</si>
  <si>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</si>
  <si>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</si>
  <si>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</si>
  <si>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</si>
  <si>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</si>
  <si>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</si>
  <si>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</si>
  <si>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</si>
  <si>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</si>
  <si>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</si>
  <si>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</si>
  <si>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</si>
  <si>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</si>
  <si>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</si>
  <si>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</si>
  <si>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</si>
  <si>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</si>
  <si>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</si>
  <si>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</si>
  <si>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</si>
  <si>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</si>
  <si>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</si>
  <si>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</si>
  <si>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</si>
  <si>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</si>
  <si>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</si>
  <si>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</si>
  <si>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</si>
  <si>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</si>
  <si>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</si>
  <si>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</si>
  <si>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</si>
  <si>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</si>
  <si>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</si>
  <si>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</si>
  <si>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</si>
  <si>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</si>
  <si>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</si>
  <si>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</si>
  <si>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</si>
  <si>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</si>
  <si>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</si>
  <si>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</si>
  <si>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</si>
  <si>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</si>
  <si>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</si>
  <si>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</si>
  <si>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</si>
  <si>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</si>
  <si>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</si>
  <si>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</si>
  <si>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</si>
  <si>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</si>
  <si>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</si>
  <si>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</si>
  <si>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</si>
  <si>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</si>
  <si>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</si>
  <si>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</si>
  <si>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</si>
  <si>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</si>
  <si>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</si>
  <si>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</si>
  <si>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</si>
  <si>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</si>
  <si>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</si>
  <si>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</si>
  <si>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</si>
  <si>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</si>
  <si>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</si>
  <si>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</si>
  <si>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</si>
  <si>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</si>
  <si>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</si>
  <si>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</si>
  <si>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</si>
  <si>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</si>
  <si>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</si>
  <si>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</si>
  <si>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</si>
  <si>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</si>
  <si>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</si>
  <si>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</si>
  <si>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</si>
  <si>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</si>
  <si>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</si>
  <si>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</si>
  <si>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</si>
  <si>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</si>
  <si>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</si>
  <si>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</si>
  <si>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</si>
  <si>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</si>
  <si>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</si>
  <si>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</si>
  <si>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</si>
  <si>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</si>
  <si>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</si>
  <si>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</si>
  <si>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</si>
  <si>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</si>
  <si>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</si>
  <si>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</si>
  <si>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</si>
  <si>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</si>
  <si>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</si>
  <si>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</si>
  <si>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</si>
  <si>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</si>
  <si>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</si>
  <si>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</si>
  <si>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</si>
  <si>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</si>
  <si>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</si>
  <si>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</si>
  <si>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</si>
  <si>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</si>
  <si>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</si>
  <si>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</si>
  <si>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</si>
  <si>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</si>
  <si>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</si>
  <si>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</si>
  <si>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</si>
  <si>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</si>
  <si>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</si>
  <si>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</si>
  <si>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</si>
  <si>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</si>
  <si>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</si>
  <si>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</si>
  <si>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</si>
  <si>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</si>
  <si>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</si>
  <si>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</si>
  <si>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</si>
  <si>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</si>
  <si>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</si>
  <si>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</si>
  <si>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</si>
  <si>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</si>
  <si>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</si>
  <si>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</si>
  <si>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</si>
  <si>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</si>
  <si>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</si>
  <si>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</si>
  <si>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</si>
  <si>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</si>
  <si>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</si>
  <si>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</si>
  <si>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</si>
  <si>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</si>
  <si>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</si>
  <si>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</si>
  <si>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</si>
  <si>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</si>
  <si>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</si>
  <si>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</si>
  <si>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</si>
  <si>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</si>
  <si>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</si>
  <si>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</si>
  <si>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</si>
  <si>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</si>
  <si>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</si>
  <si>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</si>
  <si>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</si>
  <si>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</si>
  <si>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</si>
  <si>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</si>
  <si>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</si>
  <si>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</si>
  <si>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</si>
  <si>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</si>
  <si>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</si>
  <si>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</si>
  <si>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</si>
  <si>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</si>
  <si>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</si>
  <si>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</si>
  <si>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</si>
  <si>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</si>
  <si>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</si>
  <si>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</si>
  <si>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</si>
  <si>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</si>
  <si>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</si>
  <si>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</si>
  <si>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</si>
  <si>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</si>
  <si>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</si>
  <si>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</si>
  <si>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</si>
  <si>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</si>
  <si>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</si>
  <si>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</si>
  <si>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</si>
  <si>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</si>
  <si>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</si>
  <si>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</si>
  <si>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</si>
  <si>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</si>
  <si>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</si>
  <si>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</si>
  <si>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</si>
  <si>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</si>
  <si>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</si>
  <si>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</si>
  <si>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</si>
  <si>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</si>
  <si>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</si>
  <si>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</si>
  <si>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</si>
  <si>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</si>
  <si>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</si>
  <si>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</si>
  <si>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</si>
  <si>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</si>
  <si>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</si>
  <si>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</si>
  <si>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</si>
  <si>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</si>
  <si>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</si>
  <si>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</si>
  <si>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</si>
  <si>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</si>
  <si>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</si>
  <si>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</si>
  <si>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</si>
  <si>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</si>
  <si>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</si>
  <si>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</si>
  <si>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</si>
  <si>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</si>
  <si>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</si>
  <si>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</si>
  <si>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</si>
  <si>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</si>
  <si>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</si>
  <si>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</si>
  <si>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</si>
  <si>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</si>
  <si>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</si>
  <si>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</si>
  <si>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</si>
  <si>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</si>
  <si>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</si>
  <si>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</si>
  <si>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</si>
  <si>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</si>
  <si>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</si>
  <si>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</si>
  <si>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</si>
  <si>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</si>
  <si>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</si>
  <si>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</si>
  <si>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</si>
  <si>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</si>
  <si>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</si>
  <si>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</si>
  <si>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</si>
  <si>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</si>
  <si>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</si>
  <si>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</si>
  <si>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</si>
  <si>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</si>
  <si>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</si>
  <si>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</si>
  <si>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</si>
  <si>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</si>
  <si>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</si>
  <si>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</si>
  <si>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</si>
  <si>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</si>
  <si>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</si>
  <si>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</si>
  <si>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</si>
  <si>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</si>
  <si>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</si>
  <si>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</si>
  <si>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</si>
  <si>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</si>
  <si>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</si>
  <si>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</si>
  <si>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</si>
  <si>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</si>
  <si>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</si>
  <si>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</si>
  <si>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</si>
  <si>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</si>
  <si>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</si>
  <si>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</si>
  <si>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</si>
  <si>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</si>
  <si>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</si>
  <si>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</si>
  <si>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</si>
  <si>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</si>
  <si>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</si>
  <si>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</si>
  <si>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</si>
  <si>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</si>
  <si>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</si>
  <si>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</si>
  <si>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</si>
  <si>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</si>
  <si>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</si>
  <si>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</si>
  <si>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</si>
  <si>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</si>
  <si>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</si>
  <si>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</si>
  <si>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</si>
  <si>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</si>
  <si>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</si>
  <si>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</si>
  <si>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</si>
  <si>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</si>
  <si>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</si>
  <si>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</si>
  <si>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</si>
  <si>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</si>
  <si>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</si>
  <si>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</si>
  <si>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</si>
  <si>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</si>
  <si>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</si>
  <si>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</si>
  <si>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</si>
  <si>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</si>
  <si>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</si>
  <si>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</si>
  <si>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</si>
  <si>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</si>
  <si>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</si>
  <si>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</si>
  <si>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</si>
  <si>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</si>
  <si>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</si>
  <si>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</si>
  <si>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</si>
  <si>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</si>
  <si>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</si>
  <si>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</si>
  <si>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</si>
  <si>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</si>
  <si>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</si>
  <si>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</si>
  <si>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</si>
  <si>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</si>
  <si>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</si>
  <si>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</si>
  <si>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</si>
  <si>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</si>
  <si>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</si>
  <si>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</si>
  <si>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</si>
  <si>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</si>
  <si>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</si>
  <si>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</si>
  <si>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</si>
  <si>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</si>
  <si>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</si>
  <si>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</si>
  <si>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</si>
  <si>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</si>
  <si>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</si>
  <si>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</si>
  <si>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</si>
  <si>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</si>
  <si>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</si>
  <si>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</si>
  <si>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</si>
  <si>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</si>
  <si>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</si>
  <si>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</si>
  <si>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</si>
  <si>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</si>
  <si>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</si>
  <si>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</si>
  <si>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</si>
  <si>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</si>
  <si>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</si>
  <si>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</si>
  <si>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</si>
  <si>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</si>
  <si>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</si>
  <si>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</si>
  <si>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</si>
  <si>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</si>
  <si>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</si>
  <si>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</si>
  <si>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</si>
  <si>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</si>
  <si>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</si>
  <si>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</si>
  <si>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</si>
  <si>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</si>
  <si>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</si>
  <si>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</si>
  <si>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</si>
  <si>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</si>
  <si>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</si>
  <si>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</si>
  <si>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</si>
  <si>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</si>
  <si>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</si>
  <si>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</si>
  <si>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</si>
  <si>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</si>
  <si>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</si>
  <si>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</si>
  <si>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</si>
  <si>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</si>
  <si>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</si>
  <si>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</si>
  <si>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</si>
  <si>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</si>
  <si>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</si>
  <si>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</si>
  <si>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</si>
  <si>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</si>
  <si>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</si>
  <si>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</si>
  <si>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</si>
  <si>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</si>
  <si>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</si>
  <si>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</si>
  <si>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</si>
  <si>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</si>
  <si>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</si>
  <si>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</si>
  <si>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</si>
  <si>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</si>
  <si>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</si>
  <si>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</si>
  <si>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</si>
  <si>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</si>
  <si>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</si>
  <si>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</si>
  <si>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</si>
  <si>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</si>
  <si>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</si>
  <si>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</si>
  <si>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</si>
  <si>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</si>
  <si>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</si>
  <si>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</si>
  <si>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</si>
  <si>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</si>
  <si>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</si>
  <si>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</si>
  <si>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</si>
  <si>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</si>
  <si>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</si>
  <si>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</si>
  <si>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</si>
  <si>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</si>
  <si>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</si>
  <si>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</si>
  <si>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</si>
  <si>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</si>
  <si>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</si>
  <si>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</si>
  <si>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</si>
  <si>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</si>
  <si>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</si>
  <si>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</si>
  <si>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</si>
  <si>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</si>
  <si>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</si>
  <si>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</si>
  <si>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</si>
  <si>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</si>
  <si>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</si>
  <si>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</si>
  <si>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</si>
  <si>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</si>
  <si>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</si>
  <si>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</si>
  <si>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</si>
  <si>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</si>
  <si>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</si>
  <si>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</si>
  <si>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</si>
  <si>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</si>
  <si>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</si>
  <si>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</si>
  <si>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</si>
  <si>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</si>
  <si>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</si>
  <si>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</si>
  <si>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</si>
  <si>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</si>
  <si>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</si>
  <si>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</si>
  <si>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</si>
  <si>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</si>
  <si>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</si>
  <si>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</si>
  <si>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</si>
  <si>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</si>
  <si>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</si>
  <si>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</si>
  <si>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</si>
  <si>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</si>
  <si>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</si>
  <si>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</si>
  <si>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</si>
  <si>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</si>
  <si>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</si>
  <si>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</si>
  <si>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</si>
  <si>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</si>
  <si>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</si>
  <si>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</si>
  <si>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</si>
  <si>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</si>
  <si>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</si>
  <si>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</si>
  <si>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</si>
  <si>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</si>
  <si>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</si>
  <si>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</si>
  <si>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</si>
  <si>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</si>
  <si>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</si>
  <si>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</si>
  <si>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</si>
  <si>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</si>
  <si>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</si>
  <si>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</si>
  <si>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</si>
  <si>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</si>
  <si>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</si>
  <si>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</si>
  <si>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</si>
  <si>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</si>
  <si>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</si>
  <si>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</si>
  <si>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</si>
  <si>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</si>
  <si>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</si>
  <si>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</si>
  <si>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</si>
  <si>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</si>
  <si>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</si>
  <si>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</si>
  <si>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</si>
  <si>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</si>
  <si>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</si>
  <si>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</si>
  <si>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</si>
  <si>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</si>
  <si>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</si>
  <si>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</si>
  <si>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</si>
  <si>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</si>
  <si>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</si>
  <si>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</si>
  <si>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</si>
  <si>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</si>
  <si>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</si>
  <si>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</si>
  <si>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</si>
  <si>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</si>
  <si>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</si>
  <si>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</si>
  <si>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</si>
  <si>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</si>
  <si>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</si>
  <si>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</si>
  <si>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</si>
  <si>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</si>
  <si>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</si>
  <si>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</si>
  <si>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</si>
  <si>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</si>
  <si>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</si>
  <si>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</si>
  <si>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</si>
  <si>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</si>
  <si>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</si>
  <si>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</si>
  <si>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</si>
  <si>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</si>
  <si>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</si>
  <si>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</si>
  <si>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</si>
  <si>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</si>
  <si>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</si>
  <si>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</si>
  <si>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</si>
  <si>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</si>
  <si>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</si>
  <si>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</si>
  <si>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</si>
  <si>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</si>
  <si>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</si>
  <si>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</si>
  <si>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</si>
  <si>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</si>
  <si>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</si>
  <si>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</si>
  <si>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</si>
  <si>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</si>
  <si>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</si>
  <si>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</si>
  <si>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</si>
  <si>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</si>
  <si>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</si>
  <si>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</si>
  <si>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</si>
  <si>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</si>
  <si>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</si>
  <si>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</si>
  <si>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</si>
  <si>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</si>
  <si>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</si>
  <si>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</si>
  <si>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</si>
  <si>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</si>
  <si>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Prostori za vodnike službenih psov</t>
  </si>
  <si>
    <t>Zagotavljanje nujno potrebne razpoložljivosti delovanja informacijsko telekomunikacijskega sistema</t>
  </si>
  <si>
    <t>I.SO3.1.19-05</t>
  </si>
  <si>
    <t>Finančne preiskave in sodelovanje z ARO/AMO</t>
  </si>
  <si>
    <t>I.SO3.1.4</t>
  </si>
  <si>
    <t>I.SO3.1.4-01</t>
  </si>
  <si>
    <t>TER –  Zaščita in odpornost kritične infrastrukture</t>
  </si>
  <si>
    <t>Protidronska zaščita</t>
  </si>
  <si>
    <t>I.SO3.1.29-04</t>
  </si>
  <si>
    <t>Sodelovanje s tretjimi državami na področju notranje varnosti</t>
  </si>
  <si>
    <t>Proračun 2026</t>
  </si>
  <si>
    <t>Razlika 2026</t>
  </si>
  <si>
    <t xml:space="preserve">EU </t>
  </si>
  <si>
    <t>slo</t>
  </si>
  <si>
    <t>Obnova, nadgradnja in izboljšanje opremljenosti obstoječih vadbenih kapacitet za posebne policijske veščine in protiteroristično vadbo Hangar Šentvid</t>
  </si>
  <si>
    <t>centralizirani</t>
  </si>
  <si>
    <t>I.SO2.1.29</t>
  </si>
  <si>
    <t>I.SO2.1.29-01</t>
  </si>
  <si>
    <t>Kadrovska in tehnična podpora enotni kontaktni točki (SPOC)</t>
  </si>
  <si>
    <t>40A</t>
  </si>
  <si>
    <t>I.SO3.1.32-01A</t>
  </si>
  <si>
    <t>Društvo ključ</t>
  </si>
  <si>
    <t>Operacija</t>
  </si>
  <si>
    <t>Oskrba žrtev trgovine z ljudmi - namestitev v varnem prostoru</t>
  </si>
  <si>
    <t>Aktivnosti opolnomočenja deležnikov s področja boja proti trgovini z ljudmi (mednarodno sodelovanje, preventiva, usposabljanja)</t>
  </si>
  <si>
    <t>Sprememba dinamike.</t>
  </si>
  <si>
    <t>Zvišanje operacije za 200.000.</t>
  </si>
  <si>
    <t>Znižanje operacije za 140.000 EUR, prenos na operacijo I.SO3.1.29-03.</t>
  </si>
  <si>
    <t>I.SO3.1.15</t>
  </si>
  <si>
    <t>I.SO3.1.15-01</t>
  </si>
  <si>
    <t>OC – Žrtve trgovine z ljudmi</t>
  </si>
  <si>
    <t>I.SO3.1.15-02</t>
  </si>
  <si>
    <t>Dodana operacija.</t>
  </si>
  <si>
    <t>Začasno znižanje operacije za 60.000 EUR. Po izvedbi spremembe programa se prenesejo nazaj sredstva iz projekta I.SO2.1.30-01.</t>
  </si>
  <si>
    <t>Se ne da prerazporedit drugam- ostanek</t>
  </si>
  <si>
    <t>MNZJU-SPBTL</t>
  </si>
  <si>
    <t>MNZJU-SEZMS</t>
  </si>
  <si>
    <t>MNZJU</t>
  </si>
  <si>
    <t>Akcijski načrt SNV 2021-2027  7.1</t>
  </si>
  <si>
    <t>Policija - UIT</t>
  </si>
  <si>
    <t>MNZJU-DLL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</si>
</sst>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62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  <xf numFmtId="4" fontId="0" fillId="0" borderId="0" xfId="0" applyNumberFormat="1" applyFill="1"/>
    <xf numFmtId="0" fontId="2" fillId="4" borderId="1" xfId="0" applyFont="1" applyFill="1" applyBorder="1" applyAlignment="1" applyProtection="1">
      <alignment wrapText="1"/>
      <protection locked="0"/>
    </xf>
    <xf numFmtId="4" fontId="11" fillId="0" borderId="0" xfId="0" applyNumberFormat="1" applyFont="1"/>
    <xf numFmtId="4" fontId="10" fillId="4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4" fontId="2" fillId="0" borderId="1" xfId="0" applyNumberFormat="1" applyFont="1" applyFill="1" applyBorder="1" applyAlignment="1">
      <alignment wrapText="1"/>
    </xf>
    <xf numFmtId="4" fontId="2" fillId="4" borderId="1" xfId="1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>
      <alignment vertical="center" wrapText="1"/>
    </xf>
    <xf numFmtId="0" fontId="0" fillId="0" borderId="0" xfId="0" applyFont="1"/>
    <xf numFmtId="4" fontId="0" fillId="0" borderId="0" xfId="0" applyNumberFormat="1" applyFont="1"/>
    <xf numFmtId="0" fontId="0" fillId="4" borderId="0" xfId="0" applyFont="1" applyFill="1"/>
    <xf numFmtId="4" fontId="12" fillId="4" borderId="1" xfId="0" applyNumberFormat="1" applyFont="1" applyFill="1" applyBorder="1" applyAlignment="1" applyProtection="1">
      <alignment wrapText="1"/>
    </xf>
    <xf numFmtId="4" fontId="13" fillId="4" borderId="1" xfId="0" applyNumberFormat="1" applyFont="1" applyFill="1" applyBorder="1" applyAlignment="1" applyProtection="1">
      <alignment wrapText="1"/>
    </xf>
    <xf numFmtId="4" fontId="13" fillId="4" borderId="1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horizontal="right" wrapText="1"/>
    </xf>
    <xf numFmtId="0" fontId="13" fillId="4" borderId="1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vertical="justify"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152881" cy="316063"/>
    <xdr:pic>
      <xdr:nvPicPr>
        <xdr:cNvPr id="7" name="Slika 6">
          <a:extLst>
            <a:ext uri="{FF2B5EF4-FFF2-40B4-BE49-F238E27FC236}">
              <a16:creationId xmlns:a16="http://schemas.microsoft.com/office/drawing/2014/main" id="{CAFCD0E8-17B9-4D2A-8568-FA3825EC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9192" y="0"/>
          <a:ext cx="1152881" cy="3160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AF101"/>
  <sheetViews>
    <sheetView tabSelected="1" zoomScaleNormal="100" workbookViewId="0">
      <pane xSplit="5" ySplit="7" topLeftCell="H76" activePane="bottomRight" state="frozen"/>
      <selection pane="topRight" activeCell="F1" sqref="F1"/>
      <selection pane="bottomLeft" activeCell="A8" sqref="A8"/>
      <selection pane="bottomRight" sqref="A1:AB91"/>
    </sheetView>
  </sheetViews>
  <sheetFormatPr defaultRowHeight="12.75" x14ac:dyDescent="0.2"/>
  <cols>
    <col min="2" max="2" width="13.5703125" customWidth="1"/>
    <col min="3" max="3" width="36.5703125" customWidth="1"/>
    <col min="7" max="8" width="13.85546875" bestFit="1" customWidth="1"/>
    <col min="9" max="9" width="12.28515625" bestFit="1" customWidth="1"/>
    <col min="10" max="10" width="0" hidden="1" customWidth="1"/>
    <col min="11" max="11" width="12.28515625" bestFit="1" customWidth="1"/>
    <col min="12" max="12" width="11.7109375" bestFit="1" customWidth="1"/>
    <col min="13" max="13" width="12.28515625" bestFit="1" customWidth="1"/>
    <col min="14" max="14" width="13.42578125" bestFit="1" customWidth="1"/>
    <col min="15" max="17" width="12.28515625" customWidth="1"/>
    <col min="18" max="18" width="22.140625" customWidth="1"/>
    <col min="19" max="19" width="11.7109375" hidden="1" customWidth="1"/>
    <col min="20" max="22" width="12.7109375" hidden="1" customWidth="1"/>
    <col min="23" max="23" width="11.7109375" style="80" hidden="1" customWidth="1"/>
    <col min="24" max="24" width="13.85546875" hidden="1" customWidth="1"/>
    <col min="25" max="25" width="13.140625" hidden="1" customWidth="1"/>
    <col min="26" max="27" width="13.85546875" hidden="1" customWidth="1"/>
    <col min="28" max="28" width="10.85546875" bestFit="1" customWidth="1"/>
    <col min="30" max="30" width="13.42578125" bestFit="1" customWidth="1"/>
    <col min="32" max="32" width="10.28515625" bestFit="1" customWidth="1"/>
  </cols>
  <sheetData>
    <row r="1" spans="1:27" ht="15.75" x14ac:dyDescent="0.25">
      <c r="A1" s="132" t="s">
        <v>1023</v>
      </c>
      <c r="B1" s="133"/>
      <c r="C1" s="133"/>
      <c r="D1" s="109"/>
      <c r="E1" s="109"/>
      <c r="F1" s="109"/>
      <c r="G1" s="109"/>
      <c r="H1" s="109"/>
      <c r="I1" s="109"/>
      <c r="J1" s="109"/>
      <c r="K1" s="114"/>
      <c r="L1" s="114"/>
      <c r="M1" s="114"/>
      <c r="N1" s="114"/>
      <c r="O1" s="114"/>
      <c r="P1" s="114"/>
      <c r="Q1" s="114"/>
      <c r="R1" s="114"/>
    </row>
    <row r="2" spans="1:27" ht="15.75" x14ac:dyDescent="0.25">
      <c r="A2" s="109"/>
      <c r="B2" s="109"/>
      <c r="C2" s="110"/>
      <c r="D2" s="109"/>
      <c r="E2" s="109"/>
      <c r="F2" s="109"/>
      <c r="G2" s="109"/>
      <c r="H2" s="109"/>
      <c r="I2" s="109"/>
      <c r="J2" s="109"/>
      <c r="K2" s="115"/>
      <c r="L2" s="115"/>
      <c r="M2" s="115"/>
      <c r="N2" s="115"/>
      <c r="O2" s="115"/>
      <c r="P2" s="115"/>
      <c r="Q2" s="115"/>
      <c r="R2" s="115"/>
    </row>
    <row r="3" spans="1:27" ht="36" customHeight="1" x14ac:dyDescent="0.2">
      <c r="A3" s="84" t="s">
        <v>837</v>
      </c>
      <c r="B3" s="84" t="s">
        <v>784</v>
      </c>
      <c r="C3" s="107" t="s">
        <v>839</v>
      </c>
      <c r="D3" s="108" t="s">
        <v>786</v>
      </c>
      <c r="E3" s="108" t="s">
        <v>838</v>
      </c>
      <c r="F3" s="108" t="s">
        <v>789</v>
      </c>
      <c r="G3" s="108" t="s">
        <v>791</v>
      </c>
      <c r="H3" s="108" t="s">
        <v>836</v>
      </c>
      <c r="I3" s="108" t="s">
        <v>793</v>
      </c>
      <c r="J3" s="118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16" t="s">
        <v>956</v>
      </c>
      <c r="S3" s="153"/>
      <c r="U3" s="80">
        <v>32256450.300000001</v>
      </c>
      <c r="X3" t="s">
        <v>995</v>
      </c>
      <c r="Y3" t="s">
        <v>996</v>
      </c>
      <c r="Z3" t="s">
        <v>997</v>
      </c>
      <c r="AA3" t="s">
        <v>998</v>
      </c>
    </row>
    <row r="4" spans="1:27" ht="58.5" customHeight="1" x14ac:dyDescent="0.2">
      <c r="A4" s="123"/>
      <c r="B4" s="123" t="s">
        <v>842</v>
      </c>
      <c r="C4" s="122"/>
      <c r="D4" s="123"/>
      <c r="E4" s="123"/>
      <c r="F4" s="123"/>
      <c r="G4" s="131">
        <f t="shared" ref="G4:Q4" si="0">+G5+G25+G40+G87</f>
        <v>47882004.450000003</v>
      </c>
      <c r="H4" s="131">
        <f>+H5+H25+H40+H87</f>
        <v>37829604.290000007</v>
      </c>
      <c r="I4" s="131">
        <f t="shared" si="0"/>
        <v>10052400.16</v>
      </c>
      <c r="J4" s="131">
        <f t="shared" si="0"/>
        <v>0</v>
      </c>
      <c r="K4" s="131">
        <f t="shared" si="0"/>
        <v>2854083.5100000002</v>
      </c>
      <c r="L4" s="131">
        <f t="shared" si="0"/>
        <v>4058406.7800000003</v>
      </c>
      <c r="M4" s="131">
        <f t="shared" si="0"/>
        <v>5927689.9000000004</v>
      </c>
      <c r="N4" s="131">
        <f t="shared" si="0"/>
        <v>13055148.85</v>
      </c>
      <c r="O4" s="131">
        <f t="shared" si="0"/>
        <v>10205312.919999998</v>
      </c>
      <c r="P4" s="131">
        <f t="shared" si="0"/>
        <v>7010469.9099999992</v>
      </c>
      <c r="Q4" s="131">
        <f t="shared" si="0"/>
        <v>4770892.5699999984</v>
      </c>
      <c r="R4" s="124"/>
      <c r="S4" s="153"/>
      <c r="T4" s="80"/>
      <c r="U4" s="80">
        <f>+U3-H4</f>
        <v>-5573153.9900000058</v>
      </c>
    </row>
    <row r="5" spans="1:27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12883111.699999999</v>
      </c>
      <c r="H5" s="89">
        <f t="shared" ref="H5:Q5" si="1">+H6+H17+H20</f>
        <v>10459833.710000001</v>
      </c>
      <c r="I5" s="89">
        <f t="shared" si="1"/>
        <v>2423277.9899999998</v>
      </c>
      <c r="J5" s="89">
        <f t="shared" si="1"/>
        <v>0</v>
      </c>
      <c r="K5" s="89">
        <f t="shared" si="1"/>
        <v>584462.52</v>
      </c>
      <c r="L5" s="89">
        <f t="shared" si="1"/>
        <v>493031.65</v>
      </c>
      <c r="M5" s="89">
        <f t="shared" si="1"/>
        <v>1115774.03</v>
      </c>
      <c r="N5" s="89">
        <f t="shared" si="1"/>
        <v>3017509.2</v>
      </c>
      <c r="O5" s="89">
        <f t="shared" si="1"/>
        <v>2994015.5999999996</v>
      </c>
      <c r="P5" s="89">
        <f t="shared" si="1"/>
        <v>2509258.0599999996</v>
      </c>
      <c r="Q5" s="89">
        <f t="shared" si="1"/>
        <v>2169060.6399999997</v>
      </c>
      <c r="R5" s="89"/>
      <c r="S5" s="153"/>
      <c r="U5" s="80"/>
      <c r="X5" s="80"/>
    </row>
    <row r="6" spans="1:27" ht="24" x14ac:dyDescent="0.2">
      <c r="A6" s="119"/>
      <c r="B6" s="119" t="s">
        <v>844</v>
      </c>
      <c r="C6" s="120" t="s">
        <v>967</v>
      </c>
      <c r="D6" s="119" t="s">
        <v>840</v>
      </c>
      <c r="E6" s="119"/>
      <c r="F6" s="119"/>
      <c r="G6" s="121">
        <f t="shared" ref="G6:N6" si="2">+G7+G14+G10</f>
        <v>9439778.5599999987</v>
      </c>
      <c r="H6" s="121">
        <f t="shared" si="2"/>
        <v>7079833.9100000001</v>
      </c>
      <c r="I6" s="121">
        <f t="shared" si="2"/>
        <v>2359944.65</v>
      </c>
      <c r="J6" s="121">
        <f t="shared" si="2"/>
        <v>0</v>
      </c>
      <c r="K6" s="121">
        <f t="shared" si="2"/>
        <v>583325.99</v>
      </c>
      <c r="L6" s="121">
        <f t="shared" si="2"/>
        <v>358188.24</v>
      </c>
      <c r="M6" s="121">
        <f t="shared" si="2"/>
        <v>871868.31</v>
      </c>
      <c r="N6" s="121">
        <f t="shared" si="2"/>
        <v>2211398.14</v>
      </c>
      <c r="O6" s="121">
        <f>+O7+O14+O10</f>
        <v>2180135.33</v>
      </c>
      <c r="P6" s="121">
        <f t="shared" ref="P6" si="3">+P7+P14+P10</f>
        <v>1808702.5499999998</v>
      </c>
      <c r="Q6" s="121">
        <f t="shared" ref="Q6" si="4">+Q7+Q14+Q10</f>
        <v>1426160</v>
      </c>
      <c r="R6" s="121"/>
      <c r="S6" s="153"/>
    </row>
    <row r="7" spans="1:27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N7" si="5">SUM(G8:G9)</f>
        <v>1271666.67</v>
      </c>
      <c r="H7" s="85">
        <f t="shared" si="5"/>
        <v>953750</v>
      </c>
      <c r="I7" s="85">
        <f t="shared" si="5"/>
        <v>317916.67000000004</v>
      </c>
      <c r="J7" s="85">
        <f t="shared" si="5"/>
        <v>0</v>
      </c>
      <c r="K7" s="85">
        <f t="shared" si="5"/>
        <v>0</v>
      </c>
      <c r="L7" s="85">
        <f t="shared" si="5"/>
        <v>27844.37</v>
      </c>
      <c r="M7" s="85">
        <f t="shared" si="5"/>
        <v>10875.98</v>
      </c>
      <c r="N7" s="85">
        <f t="shared" si="5"/>
        <v>126666.67</v>
      </c>
      <c r="O7" s="85">
        <f>SUM(O8:O9)</f>
        <v>606822.30000000005</v>
      </c>
      <c r="P7" s="85">
        <f t="shared" ref="P7" si="6">SUM(P8:P9)</f>
        <v>477000</v>
      </c>
      <c r="Q7" s="85">
        <f t="shared" ref="Q7" si="7">SUM(Q8:Q9)</f>
        <v>22457.350000000064</v>
      </c>
      <c r="R7" s="85"/>
      <c r="S7" s="153"/>
    </row>
    <row r="8" spans="1:27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958</v>
      </c>
      <c r="F8" s="101" t="s">
        <v>835</v>
      </c>
      <c r="G8" s="102">
        <f>+H8+I8</f>
        <v>475000</v>
      </c>
      <c r="H8" s="102">
        <v>356250</v>
      </c>
      <c r="I8" s="102">
        <f t="shared" ref="I8:I9" si="8">ROUNDUP(H8/3,2)</f>
        <v>118750</v>
      </c>
      <c r="J8" s="102"/>
      <c r="K8" s="102">
        <v>0</v>
      </c>
      <c r="L8" s="102">
        <f>12301.3+12648.14+642.09+2252.84</f>
        <v>27844.37</v>
      </c>
      <c r="M8" s="102">
        <v>10875.98</v>
      </c>
      <c r="N8" s="102">
        <v>126666.67</v>
      </c>
      <c r="O8" s="102">
        <v>153822.29999999999</v>
      </c>
      <c r="P8" s="102">
        <v>133333.32999999999</v>
      </c>
      <c r="Q8" s="102">
        <f>+G8-L8-M8-N8-O8-P8</f>
        <v>22457.350000000064</v>
      </c>
      <c r="R8" s="102" t="s">
        <v>1010</v>
      </c>
      <c r="S8" s="154"/>
      <c r="X8" s="80">
        <v>136666</v>
      </c>
      <c r="Y8" s="80">
        <f>X8-N8</f>
        <v>9999.3300000000017</v>
      </c>
      <c r="Z8" s="80">
        <f>0.75*Y8</f>
        <v>7499.4975000000013</v>
      </c>
      <c r="AA8" s="80">
        <f>Y8-Z8</f>
        <v>2499.8325000000004</v>
      </c>
    </row>
    <row r="9" spans="1:27" ht="24" x14ac:dyDescent="0.2">
      <c r="A9" s="101">
        <v>2</v>
      </c>
      <c r="B9" s="101" t="s">
        <v>943</v>
      </c>
      <c r="C9" s="103" t="s">
        <v>847</v>
      </c>
      <c r="D9" s="101" t="s">
        <v>11</v>
      </c>
      <c r="E9" s="101" t="s">
        <v>1024</v>
      </c>
      <c r="F9" s="101" t="s">
        <v>835</v>
      </c>
      <c r="G9" s="102">
        <f>+H9+I9</f>
        <v>796666.67</v>
      </c>
      <c r="H9" s="102">
        <v>597500</v>
      </c>
      <c r="I9" s="102">
        <f t="shared" si="8"/>
        <v>199166.67</v>
      </c>
      <c r="J9" s="102"/>
      <c r="K9" s="102">
        <v>0</v>
      </c>
      <c r="L9" s="102">
        <v>0</v>
      </c>
      <c r="M9" s="102">
        <v>0</v>
      </c>
      <c r="N9" s="102">
        <v>0</v>
      </c>
      <c r="O9" s="102">
        <v>453000</v>
      </c>
      <c r="P9" s="102">
        <v>343666.67</v>
      </c>
      <c r="Q9" s="102">
        <v>0</v>
      </c>
      <c r="R9" s="102" t="s">
        <v>1010</v>
      </c>
      <c r="S9" s="137">
        <v>-100000</v>
      </c>
      <c r="U9" s="139"/>
      <c r="X9" s="80"/>
      <c r="Y9" s="80"/>
      <c r="Z9" s="80"/>
      <c r="AA9" s="80"/>
    </row>
    <row r="10" spans="1:27" ht="48" x14ac:dyDescent="0.2">
      <c r="A10" s="81"/>
      <c r="B10" s="81" t="s">
        <v>945</v>
      </c>
      <c r="C10" s="94" t="s">
        <v>968</v>
      </c>
      <c r="D10" s="81" t="s">
        <v>8</v>
      </c>
      <c r="E10" s="81"/>
      <c r="F10" s="81"/>
      <c r="G10" s="85">
        <f>+G11+G12+G13</f>
        <v>6401111.8799999999</v>
      </c>
      <c r="H10" s="85">
        <f t="shared" ref="H10:N10" si="9">+H11+H12+H13</f>
        <v>4800833.91</v>
      </c>
      <c r="I10" s="85">
        <f t="shared" si="9"/>
        <v>1600277.97</v>
      </c>
      <c r="J10" s="85">
        <f t="shared" si="9"/>
        <v>0</v>
      </c>
      <c r="K10" s="85">
        <f t="shared" si="9"/>
        <v>0</v>
      </c>
      <c r="L10" s="85">
        <f t="shared" si="9"/>
        <v>195485.25</v>
      </c>
      <c r="M10" s="85">
        <f t="shared" si="9"/>
        <v>729781.38</v>
      </c>
      <c r="N10" s="85">
        <f t="shared" si="9"/>
        <v>1684731.47</v>
      </c>
      <c r="O10" s="85">
        <f>+O11+O12+O13</f>
        <v>1433313.03</v>
      </c>
      <c r="P10" s="85">
        <f t="shared" ref="P10" si="10">+P11+P12+P13</f>
        <v>1213591.68</v>
      </c>
      <c r="Q10" s="85">
        <f t="shared" ref="Q10" si="11">+Q11+Q12+Q13</f>
        <v>1144209.0699999998</v>
      </c>
      <c r="R10" s="85"/>
      <c r="S10" s="153"/>
      <c r="V10" s="80">
        <f>+H4+V8</f>
        <v>37829604.290000007</v>
      </c>
    </row>
    <row r="11" spans="1:27" ht="33.75" customHeight="1" x14ac:dyDescent="0.2">
      <c r="A11" s="101">
        <v>3</v>
      </c>
      <c r="B11" s="101" t="s">
        <v>948</v>
      </c>
      <c r="C11" s="103" t="s">
        <v>848</v>
      </c>
      <c r="D11" s="101" t="s">
        <v>11</v>
      </c>
      <c r="E11" s="101" t="s">
        <v>1024</v>
      </c>
      <c r="F11" s="101" t="s">
        <v>835</v>
      </c>
      <c r="G11" s="102">
        <f t="shared" ref="G11:G13" si="12">+H11+I11</f>
        <v>1240000</v>
      </c>
      <c r="H11" s="102">
        <v>930000</v>
      </c>
      <c r="I11" s="102">
        <f t="shared" ref="I11:I16" si="13">ROUNDUP(H11/3,2)</f>
        <v>310000</v>
      </c>
      <c r="J11" s="102"/>
      <c r="K11" s="102">
        <v>0</v>
      </c>
      <c r="L11" s="102">
        <v>195485.25</v>
      </c>
      <c r="M11" s="102">
        <v>46406.97</v>
      </c>
      <c r="N11" s="102">
        <v>322201.71999999997</v>
      </c>
      <c r="O11" s="102">
        <v>333313.03000000003</v>
      </c>
      <c r="P11" s="102">
        <v>129791.67999999999</v>
      </c>
      <c r="Q11" s="102">
        <f>+G11-L11-M11-N11-O11-P11</f>
        <v>212801.35000000003</v>
      </c>
      <c r="R11" s="102" t="s">
        <v>1010</v>
      </c>
      <c r="S11" s="153"/>
      <c r="X11" s="80">
        <v>534410</v>
      </c>
      <c r="Y11" s="80">
        <f>X11-N11</f>
        <v>212208.28000000003</v>
      </c>
      <c r="Z11" s="80">
        <f>0.75*Y11</f>
        <v>159156.21000000002</v>
      </c>
      <c r="AA11" s="80">
        <f>Y11-Z11</f>
        <v>53052.070000000007</v>
      </c>
    </row>
    <row r="12" spans="1:27" ht="24" x14ac:dyDescent="0.2">
      <c r="A12" s="101">
        <v>4</v>
      </c>
      <c r="B12" s="101" t="s">
        <v>944</v>
      </c>
      <c r="C12" s="103" t="s">
        <v>849</v>
      </c>
      <c r="D12" s="101" t="s">
        <v>11</v>
      </c>
      <c r="E12" s="101" t="s">
        <v>1024</v>
      </c>
      <c r="F12" s="101" t="s">
        <v>835</v>
      </c>
      <c r="G12" s="102">
        <f t="shared" si="12"/>
        <v>4763511.88</v>
      </c>
      <c r="H12" s="102">
        <f>3411897.31+160736.6</f>
        <v>3572633.91</v>
      </c>
      <c r="I12" s="102">
        <f t="shared" si="13"/>
        <v>1190877.97</v>
      </c>
      <c r="J12" s="102"/>
      <c r="K12" s="102">
        <v>0</v>
      </c>
      <c r="L12" s="102">
        <v>0</v>
      </c>
      <c r="M12" s="102">
        <v>637446.77</v>
      </c>
      <c r="N12" s="102">
        <v>1282529.75</v>
      </c>
      <c r="O12" s="150">
        <v>1000000</v>
      </c>
      <c r="P12" s="150">
        <v>1000000</v>
      </c>
      <c r="Q12" s="150">
        <f>+G12-K12-L12-M12-N12-O12-P12</f>
        <v>843535.35999999987</v>
      </c>
      <c r="R12" s="102" t="s">
        <v>1010</v>
      </c>
      <c r="S12" s="154">
        <f>3411897.31-930000</f>
        <v>2481897.31</v>
      </c>
      <c r="V12">
        <v>37829603.829999998</v>
      </c>
      <c r="W12" s="80">
        <v>160736.6</v>
      </c>
      <c r="X12" s="80"/>
      <c r="Y12" s="80"/>
      <c r="Z12" s="80"/>
      <c r="AA12" s="80"/>
    </row>
    <row r="13" spans="1:27" ht="24" x14ac:dyDescent="0.2">
      <c r="A13" s="101">
        <v>5</v>
      </c>
      <c r="B13" s="101" t="s">
        <v>980</v>
      </c>
      <c r="C13" s="103" t="s">
        <v>981</v>
      </c>
      <c r="D13" s="101" t="s">
        <v>11</v>
      </c>
      <c r="E13" s="101" t="s">
        <v>1024</v>
      </c>
      <c r="F13" s="101" t="s">
        <v>835</v>
      </c>
      <c r="G13" s="102">
        <f t="shared" si="12"/>
        <v>397600</v>
      </c>
      <c r="H13" s="102">
        <v>298200</v>
      </c>
      <c r="I13" s="102">
        <f t="shared" si="13"/>
        <v>99400</v>
      </c>
      <c r="J13" s="102"/>
      <c r="K13" s="102">
        <v>0</v>
      </c>
      <c r="L13" s="102">
        <v>0</v>
      </c>
      <c r="M13" s="152">
        <v>45927.64</v>
      </c>
      <c r="N13" s="102">
        <v>80000</v>
      </c>
      <c r="O13" s="102">
        <v>100000</v>
      </c>
      <c r="P13" s="102">
        <v>83800</v>
      </c>
      <c r="Q13" s="102">
        <f>+G13-M13-N13-O13-P13</f>
        <v>87872.359999999986</v>
      </c>
      <c r="R13" s="102" t="s">
        <v>1010</v>
      </c>
      <c r="S13" s="154">
        <v>298000</v>
      </c>
      <c r="V13" s="80">
        <f>+V12-V10</f>
        <v>-0.46000000834465027</v>
      </c>
      <c r="X13" s="80">
        <v>120000</v>
      </c>
      <c r="Y13" s="80">
        <f>X13-N13</f>
        <v>40000</v>
      </c>
      <c r="Z13" s="80">
        <f>0.75*Y13</f>
        <v>30000</v>
      </c>
      <c r="AA13" s="80">
        <f>Y13-Z13</f>
        <v>10000</v>
      </c>
    </row>
    <row r="14" spans="1:27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1767000.01</v>
      </c>
      <c r="H14" s="85">
        <f t="shared" ref="H14:N14" si="14">SUM(H15:H16)</f>
        <v>1325250</v>
      </c>
      <c r="I14" s="85">
        <f t="shared" si="14"/>
        <v>441750.01</v>
      </c>
      <c r="J14" s="85">
        <f t="shared" si="14"/>
        <v>0</v>
      </c>
      <c r="K14" s="85">
        <f t="shared" si="14"/>
        <v>583325.99</v>
      </c>
      <c r="L14" s="85">
        <f t="shared" si="14"/>
        <v>134858.62</v>
      </c>
      <c r="M14" s="85">
        <f t="shared" si="14"/>
        <v>131210.95000000001</v>
      </c>
      <c r="N14" s="85">
        <f t="shared" si="14"/>
        <v>400000</v>
      </c>
      <c r="O14" s="85">
        <f>SUM(O15:O16)</f>
        <v>140000</v>
      </c>
      <c r="P14" s="85">
        <f t="shared" ref="P14" si="15">SUM(P15:P16)</f>
        <v>118110.87</v>
      </c>
      <c r="Q14" s="85">
        <f t="shared" ref="Q14" si="16">SUM(Q15:Q16)</f>
        <v>259493.58000000002</v>
      </c>
      <c r="R14" s="85"/>
      <c r="S14" s="153"/>
    </row>
    <row r="15" spans="1:27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959</v>
      </c>
      <c r="F15" s="98" t="s">
        <v>835</v>
      </c>
      <c r="G15" s="102">
        <v>845666.67</v>
      </c>
      <c r="H15" s="100">
        <v>634250</v>
      </c>
      <c r="I15" s="102">
        <v>211416.67</v>
      </c>
      <c r="J15" s="100"/>
      <c r="K15" s="102">
        <v>81189.960000000006</v>
      </c>
      <c r="L15" s="102">
        <v>102717.84</v>
      </c>
      <c r="M15" s="102">
        <v>62391.78</v>
      </c>
      <c r="N15" s="102">
        <f>60000+260000</f>
        <v>320000</v>
      </c>
      <c r="O15" s="102">
        <v>60000</v>
      </c>
      <c r="P15" s="102">
        <f>49388.5-11277.63</f>
        <v>38110.870000000003</v>
      </c>
      <c r="Q15" s="102">
        <f>+G15-K15-L15-M15-N15-O15-P15</f>
        <v>181256.22000000009</v>
      </c>
      <c r="R15" s="102" t="s">
        <v>1010</v>
      </c>
      <c r="S15" s="153"/>
      <c r="X15" s="80">
        <v>493270</v>
      </c>
      <c r="Y15" s="80">
        <f>X15-N15</f>
        <v>173270</v>
      </c>
      <c r="Z15" s="80">
        <f>0.75*Y15</f>
        <v>129952.5</v>
      </c>
      <c r="AA15" s="80">
        <f>Y15-Z15</f>
        <v>43317.5</v>
      </c>
    </row>
    <row r="16" spans="1:27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959</v>
      </c>
      <c r="F16" s="98" t="s">
        <v>835</v>
      </c>
      <c r="G16" s="102">
        <f t="shared" ref="G16" si="17">+H16+I16</f>
        <v>921333.34</v>
      </c>
      <c r="H16" s="100">
        <v>691000</v>
      </c>
      <c r="I16" s="102">
        <f t="shared" si="13"/>
        <v>230333.34</v>
      </c>
      <c r="J16" s="100"/>
      <c r="K16" s="111">
        <v>502136.03</v>
      </c>
      <c r="L16" s="111">
        <v>32140.78</v>
      </c>
      <c r="M16" s="111">
        <v>68819.17</v>
      </c>
      <c r="N16" s="111">
        <v>80000</v>
      </c>
      <c r="O16" s="111">
        <v>80000</v>
      </c>
      <c r="P16" s="111">
        <v>80000</v>
      </c>
      <c r="Q16" s="111">
        <v>78237.359999999928</v>
      </c>
      <c r="R16" s="102" t="s">
        <v>1010</v>
      </c>
      <c r="S16" s="153"/>
      <c r="X16" s="80">
        <v>128400</v>
      </c>
      <c r="Y16" s="80">
        <f>X16-N16</f>
        <v>48400</v>
      </c>
      <c r="Z16" s="80">
        <f>0.75*Y16</f>
        <v>36300</v>
      </c>
      <c r="AA16" s="80">
        <f>Y16-Z16</f>
        <v>12100</v>
      </c>
    </row>
    <row r="17" spans="1:30" ht="24" x14ac:dyDescent="0.2">
      <c r="A17" s="119"/>
      <c r="B17" s="119" t="s">
        <v>859</v>
      </c>
      <c r="C17" s="120" t="s">
        <v>966</v>
      </c>
      <c r="D17" s="119" t="s">
        <v>840</v>
      </c>
      <c r="E17" s="119"/>
      <c r="F17" s="119"/>
      <c r="G17" s="121">
        <f>+G18</f>
        <v>633333.34</v>
      </c>
      <c r="H17" s="121">
        <f t="shared" ref="H17:Q21" si="18">+H18</f>
        <v>570000</v>
      </c>
      <c r="I17" s="121">
        <f t="shared" si="18"/>
        <v>63333.340000000004</v>
      </c>
      <c r="J17" s="121">
        <f t="shared" si="18"/>
        <v>0</v>
      </c>
      <c r="K17" s="121">
        <f t="shared" si="18"/>
        <v>1136.53</v>
      </c>
      <c r="L17" s="121">
        <f t="shared" si="18"/>
        <v>134843.41</v>
      </c>
      <c r="M17" s="121">
        <f t="shared" si="18"/>
        <v>54330.78</v>
      </c>
      <c r="N17" s="121">
        <f t="shared" si="18"/>
        <v>161111.10999999999</v>
      </c>
      <c r="O17" s="121">
        <f>+O18</f>
        <v>168880.32</v>
      </c>
      <c r="P17" s="121">
        <f t="shared" si="18"/>
        <v>55555.56</v>
      </c>
      <c r="Q17" s="121">
        <f t="shared" si="18"/>
        <v>57475.629999999888</v>
      </c>
      <c r="R17" s="121"/>
      <c r="S17" s="153"/>
    </row>
    <row r="18" spans="1:30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18"/>
        <v>570000</v>
      </c>
      <c r="I18" s="87">
        <f t="shared" si="18"/>
        <v>63333.340000000004</v>
      </c>
      <c r="J18" s="87">
        <f t="shared" si="18"/>
        <v>0</v>
      </c>
      <c r="K18" s="87">
        <f t="shared" si="18"/>
        <v>1136.53</v>
      </c>
      <c r="L18" s="87">
        <f t="shared" si="18"/>
        <v>134843.41</v>
      </c>
      <c r="M18" s="87">
        <f t="shared" si="18"/>
        <v>54330.78</v>
      </c>
      <c r="N18" s="87">
        <f t="shared" si="18"/>
        <v>161111.10999999999</v>
      </c>
      <c r="O18" s="87">
        <f>+O19</f>
        <v>168880.32</v>
      </c>
      <c r="P18" s="87">
        <f t="shared" si="18"/>
        <v>55555.56</v>
      </c>
      <c r="Q18" s="87">
        <f t="shared" si="18"/>
        <v>57475.629999999888</v>
      </c>
      <c r="R18" s="87"/>
      <c r="S18" s="153"/>
    </row>
    <row r="19" spans="1:30" ht="36" x14ac:dyDescent="0.2">
      <c r="A19" s="101">
        <v>8</v>
      </c>
      <c r="B19" s="101" t="s">
        <v>861</v>
      </c>
      <c r="C19" s="103" t="s">
        <v>971</v>
      </c>
      <c r="D19" s="101" t="s">
        <v>11</v>
      </c>
      <c r="E19" s="101" t="s">
        <v>958</v>
      </c>
      <c r="F19" s="101" t="s">
        <v>835</v>
      </c>
      <c r="G19" s="102">
        <f t="shared" ref="G19" si="19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1136.53</v>
      </c>
      <c r="L19" s="102">
        <v>134843.41</v>
      </c>
      <c r="M19" s="102">
        <v>54330.78</v>
      </c>
      <c r="N19" s="102">
        <v>161111.10999999999</v>
      </c>
      <c r="O19" s="102">
        <v>168880.32</v>
      </c>
      <c r="P19" s="102">
        <v>55555.56</v>
      </c>
      <c r="Q19" s="102">
        <f>+G19-K19-L19-M19-N19-O19-P19</f>
        <v>57475.629999999888</v>
      </c>
      <c r="R19" s="102" t="s">
        <v>1010</v>
      </c>
      <c r="S19" s="153"/>
      <c r="X19" s="80">
        <v>172389</v>
      </c>
      <c r="Y19" s="80">
        <f>X19-N19</f>
        <v>11277.890000000014</v>
      </c>
      <c r="Z19" s="80">
        <f>Y19*0.9</f>
        <v>10150.101000000013</v>
      </c>
      <c r="AA19" s="80">
        <f>Y19-Z19</f>
        <v>1127.7890000000007</v>
      </c>
    </row>
    <row r="20" spans="1:30" ht="24" x14ac:dyDescent="0.2">
      <c r="A20" s="119"/>
      <c r="B20" s="119" t="s">
        <v>973</v>
      </c>
      <c r="C20" s="120" t="s">
        <v>974</v>
      </c>
      <c r="D20" s="119" t="s">
        <v>840</v>
      </c>
      <c r="E20" s="119"/>
      <c r="F20" s="119"/>
      <c r="G20" s="121">
        <f>+G21+G23</f>
        <v>2809999.8</v>
      </c>
      <c r="H20" s="121">
        <f t="shared" ref="H20:N20" si="20">+H21+H23</f>
        <v>2809999.8</v>
      </c>
      <c r="I20" s="121">
        <f t="shared" si="20"/>
        <v>0</v>
      </c>
      <c r="J20" s="121">
        <f t="shared" si="20"/>
        <v>0</v>
      </c>
      <c r="K20" s="121">
        <f t="shared" si="20"/>
        <v>0</v>
      </c>
      <c r="L20" s="121">
        <f t="shared" si="20"/>
        <v>0</v>
      </c>
      <c r="M20" s="121">
        <f t="shared" si="20"/>
        <v>189574.94</v>
      </c>
      <c r="N20" s="121">
        <f t="shared" si="20"/>
        <v>644999.94999999995</v>
      </c>
      <c r="O20" s="121">
        <f>+O21+O23</f>
        <v>644999.94999999995</v>
      </c>
      <c r="P20" s="121">
        <f t="shared" ref="P20" si="21">+P21+P23</f>
        <v>644999.94999999995</v>
      </c>
      <c r="Q20" s="121">
        <f t="shared" ref="Q20" si="22">+Q21+Q23</f>
        <v>685425.01</v>
      </c>
      <c r="R20" s="121"/>
      <c r="S20" s="153"/>
      <c r="AB20" s="80"/>
      <c r="AD20" s="80"/>
    </row>
    <row r="21" spans="1:30" x14ac:dyDescent="0.2">
      <c r="A21" s="82"/>
      <c r="B21" s="82" t="s">
        <v>975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18"/>
        <v>1120000</v>
      </c>
      <c r="I21" s="87">
        <f t="shared" si="18"/>
        <v>0</v>
      </c>
      <c r="J21" s="87">
        <f t="shared" si="18"/>
        <v>0</v>
      </c>
      <c r="K21" s="87">
        <f t="shared" si="18"/>
        <v>0</v>
      </c>
      <c r="L21" s="87">
        <f t="shared" si="18"/>
        <v>0</v>
      </c>
      <c r="M21" s="87">
        <f t="shared" si="18"/>
        <v>79574.94</v>
      </c>
      <c r="N21" s="87">
        <f t="shared" si="18"/>
        <v>250000</v>
      </c>
      <c r="O21" s="87">
        <f>+O22</f>
        <v>250000</v>
      </c>
      <c r="P21" s="87">
        <f t="shared" si="18"/>
        <v>250000</v>
      </c>
      <c r="Q21" s="87">
        <f t="shared" si="18"/>
        <v>290425.06000000006</v>
      </c>
      <c r="R21" s="87"/>
      <c r="S21" s="153"/>
    </row>
    <row r="22" spans="1:30" ht="36" x14ac:dyDescent="0.2">
      <c r="A22" s="101">
        <v>9</v>
      </c>
      <c r="B22" s="101" t="s">
        <v>976</v>
      </c>
      <c r="C22" s="141" t="s">
        <v>986</v>
      </c>
      <c r="D22" s="101" t="s">
        <v>11</v>
      </c>
      <c r="E22" s="101" t="s">
        <v>1024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79574.94</v>
      </c>
      <c r="N22" s="102">
        <v>250000</v>
      </c>
      <c r="O22" s="102">
        <v>250000</v>
      </c>
      <c r="P22" s="102">
        <v>250000</v>
      </c>
      <c r="Q22" s="102">
        <f>+G22-M22-N22-O22-P22</f>
        <v>290425.06000000006</v>
      </c>
      <c r="R22" s="102" t="s">
        <v>1010</v>
      </c>
      <c r="S22" s="137">
        <v>840000</v>
      </c>
      <c r="X22" s="80"/>
      <c r="Y22" s="80"/>
      <c r="Z22" s="80"/>
      <c r="AA22" s="80"/>
    </row>
    <row r="23" spans="1:30" ht="48" x14ac:dyDescent="0.2">
      <c r="A23" s="81"/>
      <c r="B23" s="81" t="s">
        <v>978</v>
      </c>
      <c r="C23" s="94" t="s">
        <v>968</v>
      </c>
      <c r="D23" s="81" t="s">
        <v>8</v>
      </c>
      <c r="E23" s="81"/>
      <c r="F23" s="81"/>
      <c r="G23" s="85">
        <f>+G24</f>
        <v>1689999.8</v>
      </c>
      <c r="H23" s="85">
        <f t="shared" ref="H23:Q23" si="23">+H24</f>
        <v>1689999.8</v>
      </c>
      <c r="I23" s="85">
        <f t="shared" si="23"/>
        <v>0</v>
      </c>
      <c r="J23" s="85">
        <f t="shared" si="23"/>
        <v>0</v>
      </c>
      <c r="K23" s="85">
        <f t="shared" si="23"/>
        <v>0</v>
      </c>
      <c r="L23" s="85">
        <f t="shared" si="23"/>
        <v>0</v>
      </c>
      <c r="M23" s="85">
        <f t="shared" si="23"/>
        <v>110000</v>
      </c>
      <c r="N23" s="85">
        <f t="shared" si="23"/>
        <v>394999.95</v>
      </c>
      <c r="O23" s="85">
        <f>+O24</f>
        <v>394999.95</v>
      </c>
      <c r="P23" s="85">
        <f t="shared" si="23"/>
        <v>394999.95</v>
      </c>
      <c r="Q23" s="85">
        <f t="shared" si="23"/>
        <v>394999.95</v>
      </c>
      <c r="R23" s="85"/>
      <c r="S23" s="153"/>
    </row>
    <row r="24" spans="1:30" ht="24" x14ac:dyDescent="0.2">
      <c r="A24" s="101">
        <v>10</v>
      </c>
      <c r="B24" s="101" t="s">
        <v>979</v>
      </c>
      <c r="C24" s="141" t="s">
        <v>977</v>
      </c>
      <c r="D24" s="101" t="s">
        <v>11</v>
      </c>
      <c r="E24" s="101" t="s">
        <v>1024</v>
      </c>
      <c r="F24" s="101" t="s">
        <v>835</v>
      </c>
      <c r="G24" s="102">
        <f>+H24+I24</f>
        <v>1689999.8</v>
      </c>
      <c r="H24" s="102">
        <f>440000+1249999.8</f>
        <v>1689999.8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394999.95</v>
      </c>
      <c r="O24" s="102">
        <v>394999.95</v>
      </c>
      <c r="P24" s="102">
        <v>394999.95</v>
      </c>
      <c r="Q24" s="102">
        <v>394999.95</v>
      </c>
      <c r="R24" s="102"/>
      <c r="S24" s="139">
        <v>440000</v>
      </c>
      <c r="W24" s="80">
        <v>1249999.8</v>
      </c>
      <c r="X24" s="80"/>
      <c r="Y24" s="80"/>
      <c r="Z24" s="80"/>
      <c r="AA24" s="80"/>
    </row>
    <row r="25" spans="1:30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Q25" si="24">+G26+G37</f>
        <v>11073333.34</v>
      </c>
      <c r="H25" s="89">
        <f t="shared" si="24"/>
        <v>8314000</v>
      </c>
      <c r="I25" s="89">
        <f t="shared" si="24"/>
        <v>2759333.34</v>
      </c>
      <c r="J25" s="89">
        <f t="shared" si="24"/>
        <v>0</v>
      </c>
      <c r="K25" s="89">
        <f t="shared" si="24"/>
        <v>555296.83000000007</v>
      </c>
      <c r="L25" s="89">
        <f t="shared" si="24"/>
        <v>1526059.77</v>
      </c>
      <c r="M25" s="89">
        <f t="shared" si="24"/>
        <v>2629220.9099999997</v>
      </c>
      <c r="N25" s="89">
        <f t="shared" si="24"/>
        <v>2388666.67</v>
      </c>
      <c r="O25" s="89">
        <f t="shared" si="24"/>
        <v>2068987.63</v>
      </c>
      <c r="P25" s="89">
        <f t="shared" si="24"/>
        <v>1604046.79</v>
      </c>
      <c r="Q25" s="89">
        <f t="shared" si="24"/>
        <v>301054.73999999865</v>
      </c>
      <c r="R25" s="89"/>
      <c r="S25" s="153"/>
      <c r="AD25" s="80"/>
    </row>
    <row r="26" spans="1:30" ht="24" x14ac:dyDescent="0.2">
      <c r="A26" s="119"/>
      <c r="B26" s="119" t="s">
        <v>864</v>
      </c>
      <c r="C26" s="120" t="s">
        <v>967</v>
      </c>
      <c r="D26" s="119" t="s">
        <v>840</v>
      </c>
      <c r="E26" s="119"/>
      <c r="F26" s="119"/>
      <c r="G26" s="121">
        <f>+G27+G29+G31+G35</f>
        <v>11013333.34</v>
      </c>
      <c r="H26" s="121">
        <f t="shared" ref="H26:Q26" si="25">+H27+H29+H31+H35</f>
        <v>8260000</v>
      </c>
      <c r="I26" s="121">
        <f t="shared" si="25"/>
        <v>2753333.34</v>
      </c>
      <c r="J26" s="121">
        <f t="shared" si="25"/>
        <v>0</v>
      </c>
      <c r="K26" s="121">
        <f t="shared" si="25"/>
        <v>528767.95000000007</v>
      </c>
      <c r="L26" s="121">
        <f t="shared" si="25"/>
        <v>1517111.04</v>
      </c>
      <c r="M26" s="121">
        <f t="shared" si="25"/>
        <v>2629220.9099999997</v>
      </c>
      <c r="N26" s="121">
        <f t="shared" si="25"/>
        <v>2388666.67</v>
      </c>
      <c r="O26" s="121">
        <f t="shared" si="25"/>
        <v>2068987.63</v>
      </c>
      <c r="P26" s="121">
        <f t="shared" si="25"/>
        <v>1604046.79</v>
      </c>
      <c r="Q26" s="121">
        <f t="shared" si="25"/>
        <v>276532.34999999864</v>
      </c>
      <c r="R26" s="121"/>
      <c r="S26" s="153"/>
    </row>
    <row r="27" spans="1:30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Q27" si="26">+H28</f>
        <v>867500</v>
      </c>
      <c r="I27" s="85">
        <f t="shared" si="26"/>
        <v>289166.65999999997</v>
      </c>
      <c r="J27" s="85">
        <f t="shared" si="26"/>
        <v>0</v>
      </c>
      <c r="K27" s="85">
        <f t="shared" si="26"/>
        <v>0</v>
      </c>
      <c r="L27" s="85">
        <f t="shared" si="26"/>
        <v>0</v>
      </c>
      <c r="M27" s="85">
        <f t="shared" si="26"/>
        <v>828938.14</v>
      </c>
      <c r="N27" s="85">
        <f t="shared" si="26"/>
        <v>325000</v>
      </c>
      <c r="O27" s="85">
        <f>+O28</f>
        <v>2728.5199999999022</v>
      </c>
      <c r="P27" s="85">
        <f t="shared" si="26"/>
        <v>0</v>
      </c>
      <c r="Q27" s="85">
        <f t="shared" si="26"/>
        <v>0</v>
      </c>
      <c r="R27" s="85"/>
      <c r="S27" s="153"/>
    </row>
    <row r="28" spans="1:30" ht="52.15" customHeight="1" x14ac:dyDescent="0.2">
      <c r="A28" s="98">
        <v>11</v>
      </c>
      <c r="B28" s="98" t="s">
        <v>877</v>
      </c>
      <c r="C28" s="99" t="s">
        <v>874</v>
      </c>
      <c r="D28" s="98" t="s">
        <v>11</v>
      </c>
      <c r="E28" s="98" t="s">
        <v>960</v>
      </c>
      <c r="F28" s="98" t="s">
        <v>835</v>
      </c>
      <c r="G28" s="102">
        <v>1156666.6599999999</v>
      </c>
      <c r="H28" s="100">
        <v>867500</v>
      </c>
      <c r="I28" s="102">
        <v>289166.65999999997</v>
      </c>
      <c r="J28" s="102"/>
      <c r="K28" s="102">
        <v>0</v>
      </c>
      <c r="L28" s="102">
        <v>0</v>
      </c>
      <c r="M28" s="102">
        <v>828938.14</v>
      </c>
      <c r="N28" s="102">
        <v>325000</v>
      </c>
      <c r="O28" s="102">
        <f>+G28-M28-N28</f>
        <v>2728.5199999999022</v>
      </c>
      <c r="P28" s="102">
        <v>0</v>
      </c>
      <c r="Q28" s="102">
        <v>0</v>
      </c>
      <c r="R28" s="102" t="s">
        <v>1010</v>
      </c>
      <c r="S28" s="153"/>
      <c r="X28" s="80">
        <v>266667</v>
      </c>
      <c r="Y28" s="80">
        <f>X28-N28</f>
        <v>-58333</v>
      </c>
      <c r="Z28" s="80">
        <f>0.75*Y28</f>
        <v>-43749.75</v>
      </c>
      <c r="AA28" s="80">
        <f>Y28-Z28</f>
        <v>-14583.25</v>
      </c>
    </row>
    <row r="29" spans="1:30" x14ac:dyDescent="0.2">
      <c r="A29" s="81"/>
      <c r="B29" s="81" t="s">
        <v>1001</v>
      </c>
      <c r="C29" s="94" t="s">
        <v>279</v>
      </c>
      <c r="D29" s="81" t="s">
        <v>8</v>
      </c>
      <c r="E29" s="81"/>
      <c r="F29" s="81"/>
      <c r="G29" s="85">
        <f>+G30</f>
        <v>196666.67</v>
      </c>
      <c r="H29" s="85">
        <f t="shared" ref="H29:Q29" si="27">+H30</f>
        <v>147500</v>
      </c>
      <c r="I29" s="85">
        <f t="shared" si="27"/>
        <v>49166.670000000006</v>
      </c>
      <c r="J29" s="85">
        <f t="shared" si="27"/>
        <v>0</v>
      </c>
      <c r="K29" s="85">
        <f t="shared" si="27"/>
        <v>0</v>
      </c>
      <c r="L29" s="85">
        <f t="shared" si="27"/>
        <v>0</v>
      </c>
      <c r="M29" s="85">
        <f t="shared" si="27"/>
        <v>0</v>
      </c>
      <c r="N29" s="85">
        <f t="shared" si="27"/>
        <v>60000</v>
      </c>
      <c r="O29" s="85">
        <f t="shared" si="27"/>
        <v>60000</v>
      </c>
      <c r="P29" s="85">
        <f t="shared" si="27"/>
        <v>76666.67</v>
      </c>
      <c r="Q29" s="85">
        <f t="shared" si="27"/>
        <v>0</v>
      </c>
      <c r="R29" s="85"/>
      <c r="S29" s="153"/>
    </row>
    <row r="30" spans="1:30" s="16" customFormat="1" ht="24" x14ac:dyDescent="0.2">
      <c r="A30" s="98">
        <v>16</v>
      </c>
      <c r="B30" s="98" t="s">
        <v>1002</v>
      </c>
      <c r="C30" s="99" t="s">
        <v>1003</v>
      </c>
      <c r="D30" s="98" t="s">
        <v>11</v>
      </c>
      <c r="E30" s="101" t="s">
        <v>958</v>
      </c>
      <c r="F30" s="98" t="s">
        <v>835</v>
      </c>
      <c r="G30" s="102">
        <f>+H30+I30</f>
        <v>196666.67</v>
      </c>
      <c r="H30" s="102">
        <v>147500</v>
      </c>
      <c r="I30" s="102">
        <f t="shared" ref="I30" si="28">ROUNDUP(H30/3,2)</f>
        <v>49166.670000000006</v>
      </c>
      <c r="J30" s="100"/>
      <c r="K30" s="100">
        <v>0</v>
      </c>
      <c r="L30" s="100">
        <v>0</v>
      </c>
      <c r="M30" s="100">
        <v>0</v>
      </c>
      <c r="N30" s="102">
        <v>60000</v>
      </c>
      <c r="O30" s="102">
        <v>60000</v>
      </c>
      <c r="P30" s="102">
        <v>76666.67</v>
      </c>
      <c r="Q30" s="102">
        <v>0</v>
      </c>
      <c r="R30" s="102"/>
      <c r="S30" s="153"/>
      <c r="T30"/>
      <c r="U30"/>
      <c r="V30"/>
      <c r="W30" s="80">
        <v>147500</v>
      </c>
      <c r="X30" s="60">
        <v>0</v>
      </c>
      <c r="Y30" s="80">
        <f>X30-N30</f>
        <v>-60000</v>
      </c>
      <c r="Z30" s="80">
        <f>0.75*Y30</f>
        <v>-45000</v>
      </c>
      <c r="AA30" s="80">
        <f>Y30-Z30</f>
        <v>-15000</v>
      </c>
    </row>
    <row r="31" spans="1:30" ht="48" x14ac:dyDescent="0.2">
      <c r="A31" s="81"/>
      <c r="B31" s="81" t="s">
        <v>865</v>
      </c>
      <c r="C31" s="94" t="s">
        <v>968</v>
      </c>
      <c r="D31" s="81" t="s">
        <v>8</v>
      </c>
      <c r="E31" s="81"/>
      <c r="F31" s="81"/>
      <c r="G31" s="85">
        <f>+G32+G33+G34</f>
        <v>9426666.6699999999</v>
      </c>
      <c r="H31" s="85">
        <f t="shared" ref="H31:Q31" si="29">+H32+H33+H34</f>
        <v>7070000</v>
      </c>
      <c r="I31" s="85">
        <f t="shared" si="29"/>
        <v>2356666.67</v>
      </c>
      <c r="J31" s="85">
        <f t="shared" si="29"/>
        <v>0</v>
      </c>
      <c r="K31" s="85">
        <f t="shared" si="29"/>
        <v>508545.65</v>
      </c>
      <c r="L31" s="85">
        <f t="shared" si="29"/>
        <v>1482248.1500000001</v>
      </c>
      <c r="M31" s="85">
        <f t="shared" si="29"/>
        <v>1759738.51</v>
      </c>
      <c r="N31" s="85">
        <f t="shared" si="29"/>
        <v>1967666.67</v>
      </c>
      <c r="O31" s="85">
        <f t="shared" si="29"/>
        <v>1970259.11</v>
      </c>
      <c r="P31" s="85">
        <f t="shared" si="29"/>
        <v>1485380.12</v>
      </c>
      <c r="Q31" s="85">
        <f t="shared" si="29"/>
        <v>252828.45999999862</v>
      </c>
      <c r="R31" s="85"/>
      <c r="S31" s="153"/>
    </row>
    <row r="32" spans="1:30" ht="48" x14ac:dyDescent="0.2">
      <c r="A32" s="117">
        <v>12</v>
      </c>
      <c r="B32" s="117" t="s">
        <v>867</v>
      </c>
      <c r="C32" s="126" t="s">
        <v>866</v>
      </c>
      <c r="D32" s="117" t="s">
        <v>11</v>
      </c>
      <c r="E32" s="101" t="s">
        <v>958</v>
      </c>
      <c r="F32" s="117" t="s">
        <v>835</v>
      </c>
      <c r="G32" s="102">
        <f t="shared" ref="G32:G34" si="30">+H32+I32</f>
        <v>300000</v>
      </c>
      <c r="H32" s="102">
        <f>180000+45000</f>
        <v>225000</v>
      </c>
      <c r="I32" s="102">
        <f t="shared" ref="I32:I34" si="31">ROUNDUP(H32/3,2)</f>
        <v>75000</v>
      </c>
      <c r="J32" s="111"/>
      <c r="K32" s="111">
        <v>6303</v>
      </c>
      <c r="L32" s="111">
        <v>44628.22</v>
      </c>
      <c r="M32" s="111">
        <v>23567.02</v>
      </c>
      <c r="N32" s="111">
        <v>53333.33</v>
      </c>
      <c r="O32" s="111">
        <v>53333.33</v>
      </c>
      <c r="P32" s="111">
        <f>+G32-K32-L32-M32-N32-O32-Q32</f>
        <v>58835.099999999991</v>
      </c>
      <c r="Q32" s="111">
        <v>60000</v>
      </c>
      <c r="R32" s="102"/>
      <c r="S32" s="153"/>
      <c r="X32" s="80">
        <v>57066</v>
      </c>
      <c r="Y32" s="80">
        <f>X32-N32</f>
        <v>3732.6699999999983</v>
      </c>
      <c r="Z32" s="80">
        <f>0.75*Y32</f>
        <v>2799.5024999999987</v>
      </c>
      <c r="AA32" s="80">
        <f>Y32-Z32</f>
        <v>933.16749999999956</v>
      </c>
    </row>
    <row r="33" spans="1:32" ht="36" x14ac:dyDescent="0.2">
      <c r="A33" s="117">
        <v>13</v>
      </c>
      <c r="B33" s="117" t="s">
        <v>868</v>
      </c>
      <c r="C33" s="126" t="s">
        <v>870</v>
      </c>
      <c r="D33" s="117" t="s">
        <v>11</v>
      </c>
      <c r="E33" s="101" t="s">
        <v>958</v>
      </c>
      <c r="F33" s="117" t="s">
        <v>835</v>
      </c>
      <c r="G33" s="102">
        <f t="shared" si="30"/>
        <v>8900000</v>
      </c>
      <c r="H33" s="102">
        <v>6675000</v>
      </c>
      <c r="I33" s="102">
        <f t="shared" si="31"/>
        <v>2225000</v>
      </c>
      <c r="J33" s="111"/>
      <c r="K33" s="102">
        <v>490856.96000000002</v>
      </c>
      <c r="L33" s="130">
        <v>1413598.07</v>
      </c>
      <c r="M33" s="130">
        <v>1727459.32</v>
      </c>
      <c r="N33" s="130">
        <v>1866666.67</v>
      </c>
      <c r="O33" s="130">
        <v>1866666.67</v>
      </c>
      <c r="P33" s="130">
        <v>1395545.02</v>
      </c>
      <c r="Q33" s="130">
        <f>+G33-K33-L33-M33-N33-O33-P33</f>
        <v>139207.28999999864</v>
      </c>
      <c r="R33" s="102" t="s">
        <v>1010</v>
      </c>
      <c r="S33" s="153"/>
      <c r="X33" s="80"/>
      <c r="Y33" s="80"/>
      <c r="Z33" s="80"/>
      <c r="AA33" s="80"/>
    </row>
    <row r="34" spans="1:32" ht="72" x14ac:dyDescent="0.2">
      <c r="A34" s="117">
        <v>14</v>
      </c>
      <c r="B34" s="117" t="s">
        <v>869</v>
      </c>
      <c r="C34" s="126" t="s">
        <v>871</v>
      </c>
      <c r="D34" s="117" t="s">
        <v>11</v>
      </c>
      <c r="E34" s="143" t="s">
        <v>961</v>
      </c>
      <c r="F34" s="117" t="s">
        <v>835</v>
      </c>
      <c r="G34" s="111">
        <f t="shared" si="30"/>
        <v>226666.67</v>
      </c>
      <c r="H34" s="102">
        <f>100000+70000</f>
        <v>170000</v>
      </c>
      <c r="I34" s="102">
        <f t="shared" si="31"/>
        <v>56666.670000000006</v>
      </c>
      <c r="J34" s="111"/>
      <c r="K34" s="111">
        <v>11385.69</v>
      </c>
      <c r="L34" s="111">
        <v>24021.86</v>
      </c>
      <c r="M34" s="111">
        <v>8712.17</v>
      </c>
      <c r="N34" s="111">
        <v>47666.67</v>
      </c>
      <c r="O34" s="111">
        <v>50259.11</v>
      </c>
      <c r="P34" s="111">
        <v>31000</v>
      </c>
      <c r="Q34" s="111">
        <f>+G34-K34-L34-M34-N34-O34-P34</f>
        <v>53621.169999999969</v>
      </c>
      <c r="R34" s="102" t="s">
        <v>1010</v>
      </c>
      <c r="S34" s="153"/>
      <c r="W34" s="80">
        <v>70000</v>
      </c>
      <c r="X34" s="80">
        <v>32667</v>
      </c>
      <c r="Y34" s="80">
        <f>X34-N34</f>
        <v>-14999.669999999998</v>
      </c>
      <c r="Z34" s="80">
        <f>0.75*Y34</f>
        <v>-11249.752499999999</v>
      </c>
      <c r="AA34" s="80">
        <f>Y34-Z34</f>
        <v>-3749.9174999999996</v>
      </c>
      <c r="AD34" s="80"/>
    </row>
    <row r="35" spans="1:32" x14ac:dyDescent="0.2">
      <c r="A35" s="81"/>
      <c r="B35" s="81" t="s">
        <v>875</v>
      </c>
      <c r="C35" s="94" t="s">
        <v>850</v>
      </c>
      <c r="D35" s="81" t="s">
        <v>8</v>
      </c>
      <c r="E35" s="81"/>
      <c r="F35" s="81"/>
      <c r="G35" s="85">
        <f t="shared" ref="G35:Q35" si="32">SUM(G36:G36)</f>
        <v>233333.34</v>
      </c>
      <c r="H35" s="85">
        <f t="shared" si="32"/>
        <v>175000</v>
      </c>
      <c r="I35" s="85">
        <f t="shared" si="32"/>
        <v>58333.340000000004</v>
      </c>
      <c r="J35" s="85">
        <f t="shared" si="32"/>
        <v>0</v>
      </c>
      <c r="K35" s="85">
        <f t="shared" si="32"/>
        <v>20222.3</v>
      </c>
      <c r="L35" s="85">
        <f t="shared" si="32"/>
        <v>34862.89</v>
      </c>
      <c r="M35" s="85">
        <f t="shared" si="32"/>
        <v>40544.26</v>
      </c>
      <c r="N35" s="85">
        <f t="shared" si="32"/>
        <v>36000</v>
      </c>
      <c r="O35" s="85">
        <f t="shared" si="32"/>
        <v>36000</v>
      </c>
      <c r="P35" s="85">
        <f t="shared" si="32"/>
        <v>42000</v>
      </c>
      <c r="Q35" s="85">
        <f t="shared" si="32"/>
        <v>23703.890000000014</v>
      </c>
      <c r="R35" s="85"/>
      <c r="S35" s="153"/>
    </row>
    <row r="36" spans="1:32" ht="48" x14ac:dyDescent="0.2">
      <c r="A36" s="125">
        <v>15</v>
      </c>
      <c r="B36" s="125" t="s">
        <v>928</v>
      </c>
      <c r="C36" s="127" t="s">
        <v>872</v>
      </c>
      <c r="D36" s="125" t="s">
        <v>11</v>
      </c>
      <c r="E36" s="98" t="s">
        <v>959</v>
      </c>
      <c r="F36" s="125" t="s">
        <v>835</v>
      </c>
      <c r="G36" s="102">
        <f>+H36+I36</f>
        <v>233333.34</v>
      </c>
      <c r="H36" s="100">
        <v>175000</v>
      </c>
      <c r="I36" s="102">
        <f t="shared" ref="I36" si="33">ROUNDUP(H36/3,2)</f>
        <v>58333.340000000004</v>
      </c>
      <c r="J36" s="112"/>
      <c r="K36" s="112">
        <v>20222.3</v>
      </c>
      <c r="L36" s="112">
        <v>34862.89</v>
      </c>
      <c r="M36" s="111">
        <v>40544.26</v>
      </c>
      <c r="N36" s="111">
        <v>36000</v>
      </c>
      <c r="O36" s="111">
        <v>36000</v>
      </c>
      <c r="P36" s="111">
        <v>42000</v>
      </c>
      <c r="Q36" s="111">
        <f>+G36-K36-L36-M36-N36-O36-P36</f>
        <v>23703.890000000014</v>
      </c>
      <c r="R36" s="102" t="s">
        <v>1010</v>
      </c>
      <c r="S36" s="153"/>
      <c r="X36" s="80">
        <v>54570</v>
      </c>
      <c r="Y36" s="80">
        <f>X36-N36</f>
        <v>18570</v>
      </c>
      <c r="Z36" s="80">
        <f>0.75*Y36</f>
        <v>13927.5</v>
      </c>
      <c r="AA36" s="80">
        <f>Y36-Z36</f>
        <v>4642.5</v>
      </c>
    </row>
    <row r="37" spans="1:32" ht="24" x14ac:dyDescent="0.2">
      <c r="A37" s="119"/>
      <c r="B37" s="119" t="s">
        <v>879</v>
      </c>
      <c r="C37" s="120" t="s">
        <v>969</v>
      </c>
      <c r="D37" s="119" t="s">
        <v>840</v>
      </c>
      <c r="E37" s="119"/>
      <c r="F37" s="119"/>
      <c r="G37" s="121">
        <f>+G38</f>
        <v>60000</v>
      </c>
      <c r="H37" s="121">
        <f t="shared" ref="H37:Q38" si="34">+H38</f>
        <v>54000</v>
      </c>
      <c r="I37" s="121">
        <f t="shared" si="34"/>
        <v>6000</v>
      </c>
      <c r="J37" s="121">
        <f t="shared" si="34"/>
        <v>0</v>
      </c>
      <c r="K37" s="121">
        <f t="shared" si="34"/>
        <v>26528.880000000001</v>
      </c>
      <c r="L37" s="121">
        <f t="shared" si="34"/>
        <v>8948.73</v>
      </c>
      <c r="M37" s="121">
        <f t="shared" si="34"/>
        <v>0</v>
      </c>
      <c r="N37" s="121">
        <f t="shared" si="34"/>
        <v>0</v>
      </c>
      <c r="O37" s="121">
        <f>+O38</f>
        <v>0</v>
      </c>
      <c r="P37" s="121">
        <f t="shared" si="34"/>
        <v>0</v>
      </c>
      <c r="Q37" s="121">
        <f t="shared" si="34"/>
        <v>24522.389999999996</v>
      </c>
      <c r="R37" s="121"/>
      <c r="S37" s="153"/>
    </row>
    <row r="38" spans="1:32" x14ac:dyDescent="0.2">
      <c r="A38" s="81"/>
      <c r="B38" s="81" t="s">
        <v>880</v>
      </c>
      <c r="C38" s="94" t="s">
        <v>279</v>
      </c>
      <c r="D38" s="81" t="s">
        <v>8</v>
      </c>
      <c r="E38" s="81"/>
      <c r="F38" s="81"/>
      <c r="G38" s="85">
        <f>+G39</f>
        <v>60000</v>
      </c>
      <c r="H38" s="85">
        <f t="shared" si="34"/>
        <v>54000</v>
      </c>
      <c r="I38" s="85">
        <f t="shared" si="34"/>
        <v>6000</v>
      </c>
      <c r="J38" s="85">
        <f t="shared" si="34"/>
        <v>0</v>
      </c>
      <c r="K38" s="85">
        <f t="shared" si="34"/>
        <v>26528.880000000001</v>
      </c>
      <c r="L38" s="85">
        <f t="shared" si="34"/>
        <v>8948.73</v>
      </c>
      <c r="M38" s="85">
        <f t="shared" si="34"/>
        <v>0</v>
      </c>
      <c r="N38" s="85">
        <f t="shared" si="34"/>
        <v>0</v>
      </c>
      <c r="O38" s="85">
        <f t="shared" si="34"/>
        <v>0</v>
      </c>
      <c r="P38" s="85">
        <f t="shared" si="34"/>
        <v>0</v>
      </c>
      <c r="Q38" s="85">
        <f t="shared" si="34"/>
        <v>24522.389999999996</v>
      </c>
      <c r="R38" s="85"/>
      <c r="S38" s="153"/>
    </row>
    <row r="39" spans="1:32" s="16" customFormat="1" ht="24" x14ac:dyDescent="0.2">
      <c r="A39" s="98">
        <v>17</v>
      </c>
      <c r="B39" s="98" t="s">
        <v>927</v>
      </c>
      <c r="C39" s="99" t="s">
        <v>878</v>
      </c>
      <c r="D39" s="98" t="s">
        <v>11</v>
      </c>
      <c r="E39" s="101" t="s">
        <v>958</v>
      </c>
      <c r="F39" s="98" t="s">
        <v>835</v>
      </c>
      <c r="G39" s="102">
        <f t="shared" ref="G39" si="35">+H39+I39</f>
        <v>60000</v>
      </c>
      <c r="H39" s="102">
        <v>54000</v>
      </c>
      <c r="I39" s="102">
        <f>ROUNDUP(H39/9,2)</f>
        <v>6000</v>
      </c>
      <c r="J39" s="112"/>
      <c r="K39" s="100">
        <v>26528.880000000001</v>
      </c>
      <c r="L39" s="100">
        <v>8948.73</v>
      </c>
      <c r="M39" s="100">
        <v>0</v>
      </c>
      <c r="N39" s="100">
        <v>0</v>
      </c>
      <c r="O39" s="155">
        <v>0</v>
      </c>
      <c r="P39" s="112">
        <v>0</v>
      </c>
      <c r="Q39" s="111">
        <f>+G39-K39-L39</f>
        <v>24522.389999999996</v>
      </c>
      <c r="R39" s="102" t="s">
        <v>1019</v>
      </c>
      <c r="S39" s="153"/>
      <c r="T39"/>
      <c r="U39"/>
      <c r="V39"/>
      <c r="W39" s="80"/>
      <c r="X39" s="80"/>
      <c r="Y39" s="80">
        <f>X39-N39</f>
        <v>0</v>
      </c>
      <c r="Z39" s="80"/>
      <c r="AA39" s="80"/>
    </row>
    <row r="40" spans="1:32" ht="24" x14ac:dyDescent="0.2">
      <c r="A40" s="92"/>
      <c r="B40" s="92" t="s">
        <v>881</v>
      </c>
      <c r="C40" s="96" t="s">
        <v>480</v>
      </c>
      <c r="D40" s="92" t="s">
        <v>2</v>
      </c>
      <c r="E40" s="92"/>
      <c r="F40" s="92"/>
      <c r="G40" s="90">
        <f t="shared" ref="G40:Q40" si="36">+G41+G79</f>
        <v>21784260.599999998</v>
      </c>
      <c r="H40" s="90">
        <f t="shared" si="36"/>
        <v>16914471.77</v>
      </c>
      <c r="I40" s="90">
        <f t="shared" si="36"/>
        <v>4869788.83</v>
      </c>
      <c r="J40" s="90">
        <f t="shared" si="36"/>
        <v>0</v>
      </c>
      <c r="K40" s="90">
        <f t="shared" si="36"/>
        <v>1614324.1600000001</v>
      </c>
      <c r="L40" s="90">
        <f t="shared" si="36"/>
        <v>1439315.36</v>
      </c>
      <c r="M40" s="90">
        <f t="shared" si="36"/>
        <v>1379020.98</v>
      </c>
      <c r="N40" s="90">
        <f t="shared" si="36"/>
        <v>7011348.1499999994</v>
      </c>
      <c r="O40" s="90">
        <f t="shared" si="36"/>
        <v>5142309.6899999995</v>
      </c>
      <c r="P40" s="90">
        <f t="shared" si="36"/>
        <v>2897165.0599999996</v>
      </c>
      <c r="Q40" s="90">
        <f t="shared" si="36"/>
        <v>2300777.1900000004</v>
      </c>
      <c r="R40" s="90"/>
      <c r="S40" s="153"/>
    </row>
    <row r="41" spans="1:32" ht="24" x14ac:dyDescent="0.2">
      <c r="A41" s="128"/>
      <c r="B41" s="128" t="s">
        <v>882</v>
      </c>
      <c r="C41" s="120" t="s">
        <v>967</v>
      </c>
      <c r="D41" s="119" t="s">
        <v>840</v>
      </c>
      <c r="E41" s="128"/>
      <c r="F41" s="128"/>
      <c r="G41" s="129">
        <f>G42+G44+G51+G53+G56+G61+G67+G72+G74+G76+G59</f>
        <v>17942418.359999999</v>
      </c>
      <c r="H41" s="129">
        <f t="shared" ref="H41:Q41" si="37">H42+H44+H51+H53+H56+H61+H67+H72+H74+H76+H59</f>
        <v>13456813.76</v>
      </c>
      <c r="I41" s="129">
        <f t="shared" si="37"/>
        <v>4485604.5999999996</v>
      </c>
      <c r="J41" s="129">
        <f t="shared" si="37"/>
        <v>0</v>
      </c>
      <c r="K41" s="129">
        <f t="shared" si="37"/>
        <v>1219818.3500000001</v>
      </c>
      <c r="L41" s="129">
        <f t="shared" si="37"/>
        <v>882902.06</v>
      </c>
      <c r="M41" s="129">
        <f t="shared" si="37"/>
        <v>1189298.27</v>
      </c>
      <c r="N41" s="129">
        <f t="shared" si="37"/>
        <v>5999907.2599999998</v>
      </c>
      <c r="O41" s="129">
        <f t="shared" si="37"/>
        <v>4206143.92</v>
      </c>
      <c r="P41" s="129">
        <f t="shared" si="37"/>
        <v>2169944.65</v>
      </c>
      <c r="Q41" s="129">
        <f t="shared" si="37"/>
        <v>2274403.8400000003</v>
      </c>
      <c r="R41" s="129"/>
      <c r="S41" s="153"/>
      <c r="T41" s="80"/>
      <c r="AF41" s="80"/>
    </row>
    <row r="42" spans="1:32" ht="24" x14ac:dyDescent="0.2">
      <c r="A42" s="83"/>
      <c r="B42" s="83" t="s">
        <v>989</v>
      </c>
      <c r="C42" s="97" t="s">
        <v>991</v>
      </c>
      <c r="D42" s="83" t="s">
        <v>8</v>
      </c>
      <c r="E42" s="83"/>
      <c r="F42" s="83"/>
      <c r="G42" s="86">
        <f>+G43</f>
        <v>410000</v>
      </c>
      <c r="H42" s="86">
        <f t="shared" ref="H42:Q42" si="38">+H43</f>
        <v>307500</v>
      </c>
      <c r="I42" s="86">
        <f t="shared" si="38"/>
        <v>102500</v>
      </c>
      <c r="J42" s="86">
        <f t="shared" si="38"/>
        <v>0</v>
      </c>
      <c r="K42" s="86">
        <f t="shared" si="38"/>
        <v>0</v>
      </c>
      <c r="L42" s="86">
        <f t="shared" si="38"/>
        <v>0</v>
      </c>
      <c r="M42" s="86">
        <f t="shared" si="38"/>
        <v>0</v>
      </c>
      <c r="N42" s="86">
        <f t="shared" si="38"/>
        <v>0</v>
      </c>
      <c r="O42" s="86">
        <f t="shared" si="38"/>
        <v>410000</v>
      </c>
      <c r="P42" s="86">
        <f t="shared" si="38"/>
        <v>0</v>
      </c>
      <c r="Q42" s="86">
        <f t="shared" si="38"/>
        <v>0</v>
      </c>
      <c r="R42" s="86"/>
      <c r="S42" s="153"/>
    </row>
    <row r="43" spans="1:32" s="16" customFormat="1" ht="24" x14ac:dyDescent="0.2">
      <c r="A43" s="104">
        <v>18</v>
      </c>
      <c r="B43" s="104" t="s">
        <v>990</v>
      </c>
      <c r="C43" s="105" t="s">
        <v>992</v>
      </c>
      <c r="D43" s="104" t="s">
        <v>11</v>
      </c>
      <c r="E43" s="101" t="s">
        <v>1024</v>
      </c>
      <c r="F43" s="138" t="s">
        <v>835</v>
      </c>
      <c r="G43" s="100">
        <f t="shared" ref="G43" si="39">+H43+I43</f>
        <v>410000</v>
      </c>
      <c r="H43" s="100">
        <v>307500</v>
      </c>
      <c r="I43" s="100">
        <f t="shared" ref="I43" si="40">ROUNDUP(H43/3,2)</f>
        <v>102500</v>
      </c>
      <c r="J43" s="106"/>
      <c r="K43" s="100">
        <v>0</v>
      </c>
      <c r="L43" s="100">
        <v>0</v>
      </c>
      <c r="M43" s="100">
        <v>0</v>
      </c>
      <c r="N43" s="100">
        <v>0</v>
      </c>
      <c r="O43" s="102">
        <v>410000</v>
      </c>
      <c r="P43" s="102">
        <v>0</v>
      </c>
      <c r="Q43" s="102">
        <v>0</v>
      </c>
      <c r="R43" s="100"/>
      <c r="S43" s="137"/>
      <c r="T43" s="136"/>
      <c r="U43"/>
      <c r="V43"/>
      <c r="W43" s="80">
        <v>307500</v>
      </c>
      <c r="X43" s="60">
        <v>0</v>
      </c>
      <c r="Y43" s="80">
        <f>X43-N43</f>
        <v>0</v>
      </c>
      <c r="Z43" s="80"/>
      <c r="AA43" s="80"/>
    </row>
    <row r="44" spans="1:32" x14ac:dyDescent="0.2">
      <c r="A44" s="83"/>
      <c r="B44" s="83" t="s">
        <v>912</v>
      </c>
      <c r="C44" s="97" t="s">
        <v>911</v>
      </c>
      <c r="D44" s="83" t="s">
        <v>8</v>
      </c>
      <c r="E44" s="83"/>
      <c r="F44" s="83"/>
      <c r="G44" s="86">
        <f>SUM(G45:G50)</f>
        <v>3000000</v>
      </c>
      <c r="H44" s="86">
        <f t="shared" ref="H44:N44" si="41">SUM(H45:H50)</f>
        <v>2250000</v>
      </c>
      <c r="I44" s="86">
        <f t="shared" si="41"/>
        <v>750000</v>
      </c>
      <c r="J44" s="86">
        <f t="shared" si="41"/>
        <v>0</v>
      </c>
      <c r="K44" s="86">
        <f t="shared" si="41"/>
        <v>0</v>
      </c>
      <c r="L44" s="86">
        <f t="shared" si="41"/>
        <v>227173.98</v>
      </c>
      <c r="M44" s="86">
        <f t="shared" si="41"/>
        <v>0</v>
      </c>
      <c r="N44" s="86">
        <f t="shared" si="41"/>
        <v>1016406.8</v>
      </c>
      <c r="O44" s="86">
        <f>SUM(O45:O50)</f>
        <v>981713.22</v>
      </c>
      <c r="P44" s="86">
        <f t="shared" ref="P44" si="42">SUM(P45:P50)</f>
        <v>100000</v>
      </c>
      <c r="Q44" s="86">
        <f t="shared" ref="Q44" si="43">SUM(Q45:Q50)</f>
        <v>674706</v>
      </c>
      <c r="R44" s="86"/>
      <c r="S44" s="153"/>
    </row>
    <row r="45" spans="1:32" ht="24" x14ac:dyDescent="0.2">
      <c r="A45" s="104">
        <v>19</v>
      </c>
      <c r="B45" s="104" t="s">
        <v>913</v>
      </c>
      <c r="C45" s="105" t="s">
        <v>914</v>
      </c>
      <c r="D45" s="104" t="s">
        <v>11</v>
      </c>
      <c r="E45" s="104" t="s">
        <v>919</v>
      </c>
      <c r="F45" s="138" t="s">
        <v>835</v>
      </c>
      <c r="G45" s="100">
        <f t="shared" ref="G45:G50" si="44">+H45+I45</f>
        <v>299900</v>
      </c>
      <c r="H45" s="100">
        <v>224925</v>
      </c>
      <c r="I45" s="100">
        <f t="shared" ref="I45:I50" si="45">ROUNDUP(H45/3,2)</f>
        <v>74975</v>
      </c>
      <c r="J45" s="106"/>
      <c r="K45" s="100">
        <v>0</v>
      </c>
      <c r="L45" s="100">
        <v>0</v>
      </c>
      <c r="M45" s="102">
        <v>0</v>
      </c>
      <c r="N45" s="100">
        <v>193757</v>
      </c>
      <c r="O45" s="100">
        <v>0</v>
      </c>
      <c r="P45" s="100">
        <v>0</v>
      </c>
      <c r="Q45" s="100">
        <f>+G45-N45</f>
        <v>106143</v>
      </c>
      <c r="R45" s="102" t="s">
        <v>1010</v>
      </c>
      <c r="S45" s="137"/>
      <c r="T45" s="136"/>
    </row>
    <row r="46" spans="1:32" ht="48" x14ac:dyDescent="0.2">
      <c r="A46" s="104">
        <v>20</v>
      </c>
      <c r="B46" s="104" t="s">
        <v>915</v>
      </c>
      <c r="C46" s="105" t="s">
        <v>917</v>
      </c>
      <c r="D46" s="104" t="s">
        <v>11</v>
      </c>
      <c r="E46" s="104" t="s">
        <v>919</v>
      </c>
      <c r="F46" s="138" t="s">
        <v>835</v>
      </c>
      <c r="G46" s="100">
        <f t="shared" si="44"/>
        <v>1225100</v>
      </c>
      <c r="H46" s="100">
        <f>948825-30000</f>
        <v>918825</v>
      </c>
      <c r="I46" s="100">
        <f t="shared" si="45"/>
        <v>306275</v>
      </c>
      <c r="J46" s="106"/>
      <c r="K46" s="100">
        <v>0</v>
      </c>
      <c r="L46" s="100">
        <v>0</v>
      </c>
      <c r="M46" s="102">
        <v>0</v>
      </c>
      <c r="N46" s="100">
        <v>383386.78</v>
      </c>
      <c r="O46" s="100">
        <f>+G46-M46-N46</f>
        <v>841713.22</v>
      </c>
      <c r="P46" s="100">
        <v>0</v>
      </c>
      <c r="Q46" s="100">
        <v>0</v>
      </c>
      <c r="R46" s="102" t="s">
        <v>1010</v>
      </c>
      <c r="S46" s="154"/>
      <c r="T46" s="80"/>
    </row>
    <row r="47" spans="1:32" ht="24" x14ac:dyDescent="0.2">
      <c r="A47" s="104">
        <v>21</v>
      </c>
      <c r="B47" s="104" t="s">
        <v>916</v>
      </c>
      <c r="C47" s="135" t="s">
        <v>954</v>
      </c>
      <c r="D47" s="104" t="s">
        <v>11</v>
      </c>
      <c r="E47" s="104" t="s">
        <v>919</v>
      </c>
      <c r="F47" s="138" t="s">
        <v>835</v>
      </c>
      <c r="G47" s="100">
        <f t="shared" si="44"/>
        <v>185000</v>
      </c>
      <c r="H47" s="100">
        <v>138750</v>
      </c>
      <c r="I47" s="100">
        <f t="shared" si="45"/>
        <v>46250</v>
      </c>
      <c r="J47" s="106"/>
      <c r="K47" s="100">
        <v>0</v>
      </c>
      <c r="L47" s="100">
        <v>0</v>
      </c>
      <c r="M47" s="102">
        <v>0</v>
      </c>
      <c r="N47" s="100">
        <v>65855</v>
      </c>
      <c r="O47" s="100">
        <v>0</v>
      </c>
      <c r="P47" s="100">
        <v>0</v>
      </c>
      <c r="Q47" s="100">
        <f>+G47-N47</f>
        <v>119145</v>
      </c>
      <c r="R47" s="102" t="s">
        <v>1010</v>
      </c>
      <c r="S47" s="153"/>
      <c r="T47" s="80"/>
      <c r="U47" s="80"/>
    </row>
    <row r="48" spans="1:32" ht="24" x14ac:dyDescent="0.2">
      <c r="A48" s="104">
        <v>22</v>
      </c>
      <c r="B48" s="104" t="s">
        <v>931</v>
      </c>
      <c r="C48" s="105" t="s">
        <v>918</v>
      </c>
      <c r="D48" s="104" t="s">
        <v>11</v>
      </c>
      <c r="E48" s="104" t="s">
        <v>919</v>
      </c>
      <c r="F48" s="138" t="s">
        <v>835</v>
      </c>
      <c r="G48" s="100">
        <f t="shared" si="44"/>
        <v>720000</v>
      </c>
      <c r="H48" s="100">
        <v>540000</v>
      </c>
      <c r="I48" s="100">
        <f t="shared" si="45"/>
        <v>180000</v>
      </c>
      <c r="J48" s="106"/>
      <c r="K48" s="100">
        <v>0</v>
      </c>
      <c r="L48" s="100">
        <v>227173.98</v>
      </c>
      <c r="M48" s="102">
        <v>0</v>
      </c>
      <c r="N48" s="100">
        <v>233408.02</v>
      </c>
      <c r="O48" s="100">
        <v>0</v>
      </c>
      <c r="P48" s="100">
        <v>0</v>
      </c>
      <c r="Q48" s="100">
        <f>+G48-L48-N48</f>
        <v>259418.00000000003</v>
      </c>
      <c r="R48" s="102" t="s">
        <v>1010</v>
      </c>
      <c r="S48" s="153"/>
      <c r="U48" s="80"/>
    </row>
    <row r="49" spans="1:30" ht="48" x14ac:dyDescent="0.2">
      <c r="A49" s="104">
        <v>23</v>
      </c>
      <c r="B49" s="104" t="s">
        <v>946</v>
      </c>
      <c r="C49" s="105" t="s">
        <v>920</v>
      </c>
      <c r="D49" s="104" t="s">
        <v>11</v>
      </c>
      <c r="E49" s="104" t="s">
        <v>919</v>
      </c>
      <c r="F49" s="138" t="s">
        <v>835</v>
      </c>
      <c r="G49" s="102">
        <f t="shared" si="44"/>
        <v>0</v>
      </c>
      <c r="H49" s="102">
        <v>0</v>
      </c>
      <c r="I49" s="102">
        <f t="shared" si="45"/>
        <v>0</v>
      </c>
      <c r="J49" s="130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/>
      <c r="S49" s="154"/>
      <c r="T49" s="80"/>
    </row>
    <row r="50" spans="1:30" ht="36" x14ac:dyDescent="0.2">
      <c r="A50" s="104">
        <v>24</v>
      </c>
      <c r="B50" s="104" t="s">
        <v>955</v>
      </c>
      <c r="C50" s="105" t="s">
        <v>904</v>
      </c>
      <c r="D50" s="104" t="s">
        <v>11</v>
      </c>
      <c r="E50" s="101" t="s">
        <v>1024</v>
      </c>
      <c r="F50" s="138" t="s">
        <v>835</v>
      </c>
      <c r="G50" s="102">
        <f t="shared" si="44"/>
        <v>570000</v>
      </c>
      <c r="H50" s="102">
        <v>427500</v>
      </c>
      <c r="I50" s="102">
        <f t="shared" si="45"/>
        <v>142500</v>
      </c>
      <c r="J50" s="130"/>
      <c r="K50" s="102">
        <v>0</v>
      </c>
      <c r="L50" s="102">
        <v>0</v>
      </c>
      <c r="M50" s="102">
        <v>0</v>
      </c>
      <c r="N50" s="102">
        <v>140000</v>
      </c>
      <c r="O50" s="102">
        <v>140000</v>
      </c>
      <c r="P50" s="102">
        <v>100000</v>
      </c>
      <c r="Q50" s="102">
        <f>+G50-M50-N50-O50-P50</f>
        <v>190000</v>
      </c>
      <c r="R50" s="102" t="s">
        <v>1010</v>
      </c>
      <c r="S50" s="153"/>
      <c r="T50" s="80"/>
      <c r="X50" s="80"/>
      <c r="Y50" s="80"/>
      <c r="Z50" s="80"/>
      <c r="AA50" s="80"/>
    </row>
    <row r="51" spans="1:30" x14ac:dyDescent="0.2">
      <c r="A51" s="83"/>
      <c r="B51" s="83" t="s">
        <v>929</v>
      </c>
      <c r="C51" s="97" t="s">
        <v>921</v>
      </c>
      <c r="D51" s="83" t="s">
        <v>8</v>
      </c>
      <c r="E51" s="83"/>
      <c r="F51" s="83"/>
      <c r="G51" s="86">
        <f>+G52</f>
        <v>0</v>
      </c>
      <c r="H51" s="86">
        <f t="shared" ref="H51:Q51" si="46">+H52</f>
        <v>0</v>
      </c>
      <c r="I51" s="86">
        <f t="shared" si="46"/>
        <v>0</v>
      </c>
      <c r="J51" s="86">
        <f t="shared" si="46"/>
        <v>0</v>
      </c>
      <c r="K51" s="86">
        <f t="shared" si="46"/>
        <v>0</v>
      </c>
      <c r="L51" s="86">
        <f t="shared" si="46"/>
        <v>0</v>
      </c>
      <c r="M51" s="86">
        <f t="shared" si="46"/>
        <v>0</v>
      </c>
      <c r="N51" s="86">
        <f t="shared" si="46"/>
        <v>0</v>
      </c>
      <c r="O51" s="86">
        <f>+O52</f>
        <v>0</v>
      </c>
      <c r="P51" s="86">
        <f t="shared" si="46"/>
        <v>0</v>
      </c>
      <c r="Q51" s="86">
        <f t="shared" si="46"/>
        <v>0</v>
      </c>
      <c r="R51" s="86"/>
      <c r="S51" s="153"/>
    </row>
    <row r="52" spans="1:30" ht="48" x14ac:dyDescent="0.2">
      <c r="A52" s="104">
        <v>25</v>
      </c>
      <c r="B52" s="104" t="s">
        <v>930</v>
      </c>
      <c r="C52" s="105" t="s">
        <v>922</v>
      </c>
      <c r="D52" s="104" t="s">
        <v>11</v>
      </c>
      <c r="E52" s="104" t="s">
        <v>919</v>
      </c>
      <c r="F52" s="104" t="s">
        <v>835</v>
      </c>
      <c r="G52" s="102">
        <v>0</v>
      </c>
      <c r="H52" s="102">
        <v>0</v>
      </c>
      <c r="I52" s="102">
        <v>0</v>
      </c>
      <c r="J52" s="106"/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2"/>
      <c r="S52" s="154"/>
    </row>
    <row r="53" spans="1:30" x14ac:dyDescent="0.2">
      <c r="A53" s="83"/>
      <c r="B53" s="83" t="s">
        <v>885</v>
      </c>
      <c r="C53" s="97" t="s">
        <v>883</v>
      </c>
      <c r="D53" s="83" t="s">
        <v>8</v>
      </c>
      <c r="E53" s="83"/>
      <c r="F53" s="83"/>
      <c r="G53" s="86">
        <f>+G54+G55</f>
        <v>3881833.3200000003</v>
      </c>
      <c r="H53" s="86">
        <f t="shared" ref="H53:N53" si="47">+H54+H55</f>
        <v>2911374.99</v>
      </c>
      <c r="I53" s="86">
        <f t="shared" si="47"/>
        <v>970458.33</v>
      </c>
      <c r="J53" s="86">
        <f t="shared" si="47"/>
        <v>0</v>
      </c>
      <c r="K53" s="86">
        <f t="shared" si="47"/>
        <v>77618.86</v>
      </c>
      <c r="L53" s="86">
        <f t="shared" si="47"/>
        <v>349948.06</v>
      </c>
      <c r="M53" s="86">
        <f t="shared" si="47"/>
        <v>539711.76</v>
      </c>
      <c r="N53" s="86">
        <f t="shared" si="47"/>
        <v>798000</v>
      </c>
      <c r="O53" s="86">
        <f>+O54+O55</f>
        <v>865031.96</v>
      </c>
      <c r="P53" s="86">
        <f t="shared" ref="P53" si="48">+P54+P55</f>
        <v>436415.34</v>
      </c>
      <c r="Q53" s="86">
        <f t="shared" ref="Q53" si="49">+Q54+Q55</f>
        <v>815107.34000000032</v>
      </c>
      <c r="R53" s="86"/>
      <c r="S53" s="153"/>
    </row>
    <row r="54" spans="1:30" ht="36" x14ac:dyDescent="0.2">
      <c r="A54" s="104">
        <v>26</v>
      </c>
      <c r="B54" s="104" t="s">
        <v>886</v>
      </c>
      <c r="C54" s="105" t="s">
        <v>884</v>
      </c>
      <c r="D54" s="104" t="s">
        <v>11</v>
      </c>
      <c r="E54" s="101" t="s">
        <v>958</v>
      </c>
      <c r="F54" s="104" t="s">
        <v>835</v>
      </c>
      <c r="G54" s="102">
        <f t="shared" ref="G54:G58" si="50">+H54+I54</f>
        <v>898500</v>
      </c>
      <c r="H54" s="100">
        <v>673875</v>
      </c>
      <c r="I54" s="102">
        <f t="shared" ref="I54:I58" si="51">ROUNDUP(H54/3,2)</f>
        <v>224625</v>
      </c>
      <c r="J54" s="106"/>
      <c r="K54" s="106">
        <v>68055.5</v>
      </c>
      <c r="L54" s="130">
        <v>98289.44</v>
      </c>
      <c r="M54" s="130">
        <v>262406.37</v>
      </c>
      <c r="N54" s="130">
        <v>250000</v>
      </c>
      <c r="O54" s="130">
        <v>180000</v>
      </c>
      <c r="P54" s="130">
        <v>39748.69</v>
      </c>
      <c r="Q54" s="130">
        <f>+G54-K54-L54-M54-N54-O54-P54</f>
        <v>5.8207660913467407E-11</v>
      </c>
      <c r="R54" s="102" t="s">
        <v>1012</v>
      </c>
      <c r="S54" s="153"/>
      <c r="X54" s="80">
        <v>199767</v>
      </c>
      <c r="Y54" s="80">
        <f>X54-N54</f>
        <v>-50233</v>
      </c>
      <c r="Z54" s="80">
        <f>0.75*Y54</f>
        <v>-37674.75</v>
      </c>
      <c r="AA54" s="80">
        <f>Y54-Z54</f>
        <v>-12558.25</v>
      </c>
      <c r="AD54" s="80"/>
    </row>
    <row r="55" spans="1:30" ht="36" x14ac:dyDescent="0.2">
      <c r="A55" s="104">
        <v>27</v>
      </c>
      <c r="B55" s="104" t="s">
        <v>947</v>
      </c>
      <c r="C55" s="105" t="s">
        <v>903</v>
      </c>
      <c r="D55" s="104" t="s">
        <v>11</v>
      </c>
      <c r="E55" s="101" t="s">
        <v>1024</v>
      </c>
      <c r="F55" s="104" t="s">
        <v>835</v>
      </c>
      <c r="G55" s="102">
        <f t="shared" si="50"/>
        <v>2983333.3200000003</v>
      </c>
      <c r="H55" s="100">
        <f>2230000+7499.99</f>
        <v>2237499.9900000002</v>
      </c>
      <c r="I55" s="102">
        <f t="shared" si="51"/>
        <v>745833.33</v>
      </c>
      <c r="J55" s="106"/>
      <c r="K55" s="100">
        <v>9563.36</v>
      </c>
      <c r="L55" s="100">
        <v>251658.62</v>
      </c>
      <c r="M55" s="102">
        <v>277305.39</v>
      </c>
      <c r="N55" s="102">
        <v>548000</v>
      </c>
      <c r="O55" s="102">
        <v>685031.96</v>
      </c>
      <c r="P55" s="102">
        <v>396666.65</v>
      </c>
      <c r="Q55" s="102">
        <f>+G55-K55-L55-M55-N55-O55-P55</f>
        <v>815107.3400000002</v>
      </c>
      <c r="R55" s="102" t="s">
        <v>1010</v>
      </c>
      <c r="S55" s="154">
        <v>-270000</v>
      </c>
      <c r="T55" s="24"/>
      <c r="U55" s="142"/>
      <c r="V55" s="24"/>
      <c r="W55" s="80">
        <v>40000</v>
      </c>
      <c r="X55" s="80"/>
      <c r="Y55" s="80"/>
      <c r="Z55" s="80"/>
      <c r="AA55" s="80"/>
    </row>
    <row r="56" spans="1:30" x14ac:dyDescent="0.2">
      <c r="A56" s="83"/>
      <c r="B56" s="83" t="s">
        <v>1013</v>
      </c>
      <c r="C56" s="97" t="s">
        <v>1015</v>
      </c>
      <c r="D56" s="83" t="s">
        <v>8</v>
      </c>
      <c r="E56" s="83"/>
      <c r="F56" s="83"/>
      <c r="G56" s="86">
        <f>+G57+G58</f>
        <v>182500</v>
      </c>
      <c r="H56" s="86">
        <f t="shared" ref="H56:Q56" si="52">+H57+H58</f>
        <v>136875</v>
      </c>
      <c r="I56" s="86">
        <f t="shared" si="52"/>
        <v>45625</v>
      </c>
      <c r="J56" s="86">
        <f t="shared" si="52"/>
        <v>0</v>
      </c>
      <c r="K56" s="86">
        <f t="shared" si="52"/>
        <v>0</v>
      </c>
      <c r="L56" s="86">
        <f t="shared" si="52"/>
        <v>0</v>
      </c>
      <c r="M56" s="86">
        <f t="shared" si="52"/>
        <v>0</v>
      </c>
      <c r="N56" s="86">
        <f t="shared" si="52"/>
        <v>5000</v>
      </c>
      <c r="O56" s="86">
        <f t="shared" si="52"/>
        <v>59500</v>
      </c>
      <c r="P56" s="86">
        <f t="shared" si="52"/>
        <v>59000</v>
      </c>
      <c r="Q56" s="86">
        <f t="shared" si="52"/>
        <v>59000</v>
      </c>
      <c r="R56" s="86"/>
      <c r="S56" s="153"/>
      <c r="T56" s="24"/>
      <c r="U56" s="24"/>
      <c r="V56" s="24"/>
    </row>
    <row r="57" spans="1:30" ht="24" x14ac:dyDescent="0.2">
      <c r="A57" s="104">
        <v>41</v>
      </c>
      <c r="B57" s="104" t="s">
        <v>1014</v>
      </c>
      <c r="C57" s="105" t="s">
        <v>1008</v>
      </c>
      <c r="D57" s="104" t="s">
        <v>11</v>
      </c>
      <c r="E57" s="104" t="s">
        <v>1020</v>
      </c>
      <c r="F57" s="104" t="s">
        <v>834</v>
      </c>
      <c r="G57" s="156">
        <f t="shared" si="50"/>
        <v>165000</v>
      </c>
      <c r="H57" s="157">
        <v>123750</v>
      </c>
      <c r="I57" s="156">
        <f t="shared" si="51"/>
        <v>41250</v>
      </c>
      <c r="J57" s="158"/>
      <c r="K57" s="157">
        <v>0</v>
      </c>
      <c r="L57" s="157">
        <v>0</v>
      </c>
      <c r="M57" s="157">
        <v>0</v>
      </c>
      <c r="N57" s="157">
        <v>0</v>
      </c>
      <c r="O57" s="157">
        <v>55000</v>
      </c>
      <c r="P57" s="157">
        <v>55000</v>
      </c>
      <c r="Q57" s="157">
        <v>55000</v>
      </c>
      <c r="R57" s="102" t="s">
        <v>1017</v>
      </c>
      <c r="S57" s="153"/>
      <c r="X57" s="80">
        <v>171200</v>
      </c>
      <c r="Y57" s="80">
        <f>X57-N57</f>
        <v>171200</v>
      </c>
      <c r="Z57" s="80">
        <f>0.75*Y57</f>
        <v>128400</v>
      </c>
      <c r="AA57" s="80">
        <f>Y57-Z57</f>
        <v>42800</v>
      </c>
    </row>
    <row r="58" spans="1:30" ht="48" x14ac:dyDescent="0.2">
      <c r="A58" s="104">
        <v>42</v>
      </c>
      <c r="B58" s="104" t="s">
        <v>1016</v>
      </c>
      <c r="C58" s="105" t="s">
        <v>1009</v>
      </c>
      <c r="D58" s="104" t="s">
        <v>11</v>
      </c>
      <c r="E58" s="104" t="s">
        <v>1020</v>
      </c>
      <c r="F58" s="104" t="s">
        <v>835</v>
      </c>
      <c r="G58" s="156">
        <f t="shared" si="50"/>
        <v>17500</v>
      </c>
      <c r="H58" s="157">
        <v>13125</v>
      </c>
      <c r="I58" s="156">
        <f t="shared" si="51"/>
        <v>4375</v>
      </c>
      <c r="J58" s="158"/>
      <c r="K58" s="157">
        <v>0</v>
      </c>
      <c r="L58" s="157">
        <v>0</v>
      </c>
      <c r="M58" s="157">
        <v>0</v>
      </c>
      <c r="N58" s="157">
        <v>5000</v>
      </c>
      <c r="O58" s="157">
        <v>4500</v>
      </c>
      <c r="P58" s="157">
        <v>4000</v>
      </c>
      <c r="Q58" s="157">
        <v>4000</v>
      </c>
      <c r="R58" s="102" t="s">
        <v>1017</v>
      </c>
      <c r="S58" s="153"/>
      <c r="X58" s="80"/>
      <c r="Y58" s="80"/>
      <c r="Z58" s="80"/>
      <c r="AA58" s="80"/>
    </row>
    <row r="59" spans="1:30" x14ac:dyDescent="0.2">
      <c r="A59" s="83"/>
      <c r="B59" s="83" t="s">
        <v>890</v>
      </c>
      <c r="C59" s="97" t="s">
        <v>887</v>
      </c>
      <c r="D59" s="83" t="s">
        <v>8</v>
      </c>
      <c r="E59" s="83"/>
      <c r="F59" s="83"/>
      <c r="G59" s="86">
        <f>+G60</f>
        <v>651000</v>
      </c>
      <c r="H59" s="86">
        <f t="shared" ref="H59:Q59" si="53">+H60</f>
        <v>488250</v>
      </c>
      <c r="I59" s="86">
        <f t="shared" si="53"/>
        <v>162750</v>
      </c>
      <c r="J59" s="86">
        <f t="shared" si="53"/>
        <v>0</v>
      </c>
      <c r="K59" s="86">
        <f t="shared" si="53"/>
        <v>140.26</v>
      </c>
      <c r="L59" s="86">
        <f t="shared" si="53"/>
        <v>1380.43</v>
      </c>
      <c r="M59" s="86">
        <f t="shared" si="53"/>
        <v>211834.41</v>
      </c>
      <c r="N59" s="86">
        <f t="shared" si="53"/>
        <v>160000</v>
      </c>
      <c r="O59" s="86">
        <f>+O60</f>
        <v>90000</v>
      </c>
      <c r="P59" s="86">
        <f t="shared" si="53"/>
        <v>169479.33</v>
      </c>
      <c r="Q59" s="86">
        <f t="shared" si="53"/>
        <v>18165.56999999992</v>
      </c>
      <c r="R59" s="86"/>
      <c r="S59" s="153"/>
      <c r="T59" s="24"/>
      <c r="U59" s="24"/>
      <c r="V59" s="24"/>
    </row>
    <row r="60" spans="1:30" ht="24" x14ac:dyDescent="0.2">
      <c r="A60" s="104">
        <v>28</v>
      </c>
      <c r="B60" s="104" t="s">
        <v>891</v>
      </c>
      <c r="C60" s="105" t="s">
        <v>888</v>
      </c>
      <c r="D60" s="104" t="s">
        <v>11</v>
      </c>
      <c r="E60" s="101" t="s">
        <v>958</v>
      </c>
      <c r="F60" s="104" t="s">
        <v>835</v>
      </c>
      <c r="G60" s="102">
        <f t="shared" ref="G60" si="54">+H60+I60</f>
        <v>651000</v>
      </c>
      <c r="H60" s="100">
        <v>488250</v>
      </c>
      <c r="I60" s="102">
        <f t="shared" ref="I60" si="55">ROUNDUP(H60/3,2)</f>
        <v>162750</v>
      </c>
      <c r="J60" s="106"/>
      <c r="K60" s="100">
        <v>140.26</v>
      </c>
      <c r="L60" s="100">
        <v>1380.43</v>
      </c>
      <c r="M60" s="102">
        <v>211834.41</v>
      </c>
      <c r="N60" s="102">
        <v>160000</v>
      </c>
      <c r="O60" s="102">
        <v>90000</v>
      </c>
      <c r="P60" s="102">
        <v>169479.33</v>
      </c>
      <c r="Q60" s="102">
        <f>+G60-K60-L60-M60-N60-O60-P60</f>
        <v>18165.56999999992</v>
      </c>
      <c r="R60" s="102" t="s">
        <v>1010</v>
      </c>
      <c r="S60" s="153"/>
      <c r="X60" s="80">
        <v>171200</v>
      </c>
      <c r="Y60" s="80">
        <f>X60-N60</f>
        <v>11200</v>
      </c>
      <c r="Z60" s="80">
        <f>0.75*Y60</f>
        <v>8400</v>
      </c>
      <c r="AA60" s="80">
        <f>Y60-Z60</f>
        <v>2800</v>
      </c>
    </row>
    <row r="61" spans="1:30" x14ac:dyDescent="0.2">
      <c r="A61" s="83"/>
      <c r="B61" s="83" t="s">
        <v>908</v>
      </c>
      <c r="C61" s="97" t="s">
        <v>907</v>
      </c>
      <c r="D61" s="83" t="s">
        <v>8</v>
      </c>
      <c r="E61" s="83"/>
      <c r="F61" s="83"/>
      <c r="G61" s="86">
        <f>+G62+G64+G63+G65+G66</f>
        <v>6456044.2300000004</v>
      </c>
      <c r="H61" s="86">
        <f t="shared" ref="H61:Q61" si="56">+H62+H64+H63+H65+H66</f>
        <v>4842033.17</v>
      </c>
      <c r="I61" s="86">
        <f t="shared" si="56"/>
        <v>1614011.06</v>
      </c>
      <c r="J61" s="86">
        <f t="shared" si="56"/>
        <v>0</v>
      </c>
      <c r="K61" s="86">
        <f t="shared" si="56"/>
        <v>1063799.02</v>
      </c>
      <c r="L61" s="86">
        <f t="shared" si="56"/>
        <v>4539.24</v>
      </c>
      <c r="M61" s="86">
        <f t="shared" si="56"/>
        <v>136320.78</v>
      </c>
      <c r="N61" s="86">
        <f t="shared" si="56"/>
        <v>2421002.06</v>
      </c>
      <c r="O61" s="86">
        <f t="shared" si="56"/>
        <v>1398173.81</v>
      </c>
      <c r="P61" s="86">
        <f t="shared" si="56"/>
        <v>1055209.3199999998</v>
      </c>
      <c r="Q61" s="86">
        <f t="shared" si="56"/>
        <v>377000</v>
      </c>
      <c r="R61" s="86"/>
      <c r="S61" s="153"/>
    </row>
    <row r="62" spans="1:30" ht="24" x14ac:dyDescent="0.2">
      <c r="A62" s="104">
        <v>29</v>
      </c>
      <c r="B62" s="104" t="s">
        <v>909</v>
      </c>
      <c r="C62" s="105" t="s">
        <v>910</v>
      </c>
      <c r="D62" s="104" t="s">
        <v>11</v>
      </c>
      <c r="E62" s="101" t="s">
        <v>958</v>
      </c>
      <c r="F62" s="104" t="s">
        <v>835</v>
      </c>
      <c r="G62" s="102">
        <f t="shared" ref="G62:G64" si="57">+H62+I62</f>
        <v>300000</v>
      </c>
      <c r="H62" s="100">
        <v>225000</v>
      </c>
      <c r="I62" s="102">
        <f t="shared" ref="I62:I64" si="58">ROUNDUP(H62/3,2)</f>
        <v>75000</v>
      </c>
      <c r="J62" s="106"/>
      <c r="K62" s="100">
        <v>58311.46</v>
      </c>
      <c r="L62" s="100">
        <v>4539.24</v>
      </c>
      <c r="M62" s="100">
        <v>57017.66</v>
      </c>
      <c r="N62" s="100">
        <v>70699.17</v>
      </c>
      <c r="O62" s="100">
        <f>+G62-K62-L62-M62-N62</f>
        <v>109432.47000000002</v>
      </c>
      <c r="P62" s="100">
        <v>0</v>
      </c>
      <c r="Q62" s="100">
        <v>0</v>
      </c>
      <c r="R62" s="102" t="s">
        <v>1010</v>
      </c>
      <c r="S62" s="153"/>
      <c r="X62" s="80">
        <v>76000</v>
      </c>
      <c r="Y62" s="80">
        <f>X62-N62</f>
        <v>5300.8300000000017</v>
      </c>
      <c r="Z62" s="80">
        <f>0.75*Y62</f>
        <v>3975.6225000000013</v>
      </c>
      <c r="AA62" s="80">
        <f>Y62-Z62</f>
        <v>1325.2075000000004</v>
      </c>
    </row>
    <row r="63" spans="1:30" ht="24" x14ac:dyDescent="0.2">
      <c r="A63" s="138">
        <v>30</v>
      </c>
      <c r="B63" s="138" t="s">
        <v>982</v>
      </c>
      <c r="C63" s="140" t="s">
        <v>984</v>
      </c>
      <c r="D63" s="138" t="s">
        <v>11</v>
      </c>
      <c r="E63" s="101" t="s">
        <v>961</v>
      </c>
      <c r="F63" s="138" t="s">
        <v>835</v>
      </c>
      <c r="G63" s="102">
        <f t="shared" ref="G63" si="59">+H63+I63</f>
        <v>1172377.56</v>
      </c>
      <c r="H63" s="102">
        <v>879283.17</v>
      </c>
      <c r="I63" s="102">
        <f t="shared" ref="I63" si="60">ROUNDUP(H63/3,2)</f>
        <v>293094.39</v>
      </c>
      <c r="J63" s="130"/>
      <c r="K63" s="102">
        <v>0</v>
      </c>
      <c r="L63" s="102">
        <v>0</v>
      </c>
      <c r="M63" s="102">
        <v>0</v>
      </c>
      <c r="N63" s="102">
        <v>1172377.56</v>
      </c>
      <c r="O63" s="102">
        <v>0</v>
      </c>
      <c r="P63" s="102">
        <v>0</v>
      </c>
      <c r="Q63" s="102">
        <v>0</v>
      </c>
      <c r="R63" s="102" t="s">
        <v>1010</v>
      </c>
      <c r="S63" s="154">
        <f>+H63</f>
        <v>879283.17</v>
      </c>
      <c r="X63" s="80"/>
      <c r="Y63" s="80"/>
      <c r="Z63" s="80"/>
      <c r="AA63" s="80"/>
    </row>
    <row r="64" spans="1:30" ht="24" x14ac:dyDescent="0.2">
      <c r="A64" s="104">
        <v>31</v>
      </c>
      <c r="B64" s="138" t="s">
        <v>951</v>
      </c>
      <c r="C64" s="140" t="s">
        <v>906</v>
      </c>
      <c r="D64" s="138" t="s">
        <v>11</v>
      </c>
      <c r="E64" s="101" t="s">
        <v>1024</v>
      </c>
      <c r="F64" s="138" t="s">
        <v>835</v>
      </c>
      <c r="G64" s="102">
        <f t="shared" si="57"/>
        <v>2656666.67</v>
      </c>
      <c r="H64" s="102">
        <f>515000+427500+800000+250000</f>
        <v>1992500</v>
      </c>
      <c r="I64" s="102">
        <f t="shared" si="58"/>
        <v>664166.67000000004</v>
      </c>
      <c r="J64" s="130"/>
      <c r="K64" s="102">
        <v>1005487.56</v>
      </c>
      <c r="L64" s="102">
        <v>0</v>
      </c>
      <c r="M64" s="102">
        <v>79303.12</v>
      </c>
      <c r="N64" s="102">
        <v>577925.32999999996</v>
      </c>
      <c r="O64" s="102">
        <v>438741.34</v>
      </c>
      <c r="P64" s="102">
        <f>+G64-K64-L64-M64-N64-O64</f>
        <v>555209.31999999983</v>
      </c>
      <c r="Q64" s="102">
        <v>0</v>
      </c>
      <c r="R64" s="102" t="s">
        <v>1010</v>
      </c>
      <c r="S64" s="154">
        <v>800000</v>
      </c>
      <c r="U64" s="80"/>
      <c r="W64" s="80">
        <v>250000</v>
      </c>
      <c r="X64" s="80"/>
      <c r="Y64" s="80"/>
      <c r="Z64" s="80"/>
      <c r="AA64" s="80"/>
    </row>
    <row r="65" spans="1:27" ht="24" x14ac:dyDescent="0.2">
      <c r="A65" s="138">
        <v>32</v>
      </c>
      <c r="B65" s="138" t="s">
        <v>983</v>
      </c>
      <c r="C65" s="140" t="s">
        <v>985</v>
      </c>
      <c r="D65" s="138" t="s">
        <v>11</v>
      </c>
      <c r="E65" s="101" t="s">
        <v>1025</v>
      </c>
      <c r="F65" s="138" t="s">
        <v>835</v>
      </c>
      <c r="G65" s="102">
        <f t="shared" ref="G65:G66" si="61">+H65+I65</f>
        <v>250000</v>
      </c>
      <c r="H65" s="102">
        <v>187500</v>
      </c>
      <c r="I65" s="102">
        <f t="shared" ref="I65:I66" si="62">ROUNDUP(H65/3,2)</f>
        <v>62500</v>
      </c>
      <c r="J65" s="130"/>
      <c r="K65" s="102">
        <v>0</v>
      </c>
      <c r="L65" s="102">
        <v>0</v>
      </c>
      <c r="M65" s="102">
        <v>0</v>
      </c>
      <c r="N65" s="102">
        <v>0</v>
      </c>
      <c r="O65" s="102">
        <v>250000</v>
      </c>
      <c r="P65" s="102">
        <v>0</v>
      </c>
      <c r="Q65" s="102">
        <v>0</v>
      </c>
      <c r="R65" s="102"/>
      <c r="S65" s="154"/>
      <c r="U65" s="80"/>
      <c r="W65" s="80">
        <v>75000</v>
      </c>
      <c r="X65" s="80">
        <v>150000</v>
      </c>
      <c r="Y65" s="80">
        <f>X65-N65</f>
        <v>150000</v>
      </c>
      <c r="Z65" s="80">
        <f>0.75*Y65</f>
        <v>112500</v>
      </c>
      <c r="AA65" s="80">
        <f>Y65-Z65</f>
        <v>37500</v>
      </c>
    </row>
    <row r="66" spans="1:27" ht="72.75" x14ac:dyDescent="0.25">
      <c r="A66" s="146">
        <v>33</v>
      </c>
      <c r="B66" s="146" t="s">
        <v>987</v>
      </c>
      <c r="C66" s="147" t="s">
        <v>988</v>
      </c>
      <c r="D66" s="146" t="s">
        <v>11</v>
      </c>
      <c r="E66" s="117" t="s">
        <v>958</v>
      </c>
      <c r="F66" s="146" t="s">
        <v>835</v>
      </c>
      <c r="G66" s="111">
        <f t="shared" si="61"/>
        <v>2077000</v>
      </c>
      <c r="H66" s="112">
        <f>1602750-45000</f>
        <v>1557750</v>
      </c>
      <c r="I66" s="111">
        <f t="shared" si="62"/>
        <v>519250</v>
      </c>
      <c r="J66" s="106"/>
      <c r="K66" s="112">
        <v>0</v>
      </c>
      <c r="L66" s="112">
        <v>0</v>
      </c>
      <c r="M66" s="112">
        <v>0</v>
      </c>
      <c r="N66" s="111">
        <v>600000</v>
      </c>
      <c r="O66" s="111">
        <v>600000</v>
      </c>
      <c r="P66" s="111">
        <v>500000</v>
      </c>
      <c r="Q66" s="111">
        <f>437000-60000</f>
        <v>377000</v>
      </c>
      <c r="R66" s="111" t="s">
        <v>1018</v>
      </c>
      <c r="S66" s="154"/>
      <c r="U66" s="80"/>
      <c r="W66" s="80">
        <v>1602750</v>
      </c>
      <c r="X66" s="60">
        <v>634500</v>
      </c>
      <c r="Y66" s="80">
        <f>X66-N66</f>
        <v>34500</v>
      </c>
      <c r="Z66" s="80">
        <f>0.75*Y66</f>
        <v>25875</v>
      </c>
      <c r="AA66" s="80">
        <f>Y66-Z66</f>
        <v>8625</v>
      </c>
    </row>
    <row r="67" spans="1:27" x14ac:dyDescent="0.2">
      <c r="A67" s="83"/>
      <c r="B67" s="83" t="s">
        <v>893</v>
      </c>
      <c r="C67" s="97" t="s">
        <v>845</v>
      </c>
      <c r="D67" s="83" t="s">
        <v>8</v>
      </c>
      <c r="E67" s="83"/>
      <c r="F67" s="83"/>
      <c r="G67" s="86">
        <f>SUM(G68:G71)</f>
        <v>2021040.81</v>
      </c>
      <c r="H67" s="86">
        <f t="shared" ref="H67:Q67" si="63">SUM(H68:H71)</f>
        <v>1515780.6</v>
      </c>
      <c r="I67" s="86">
        <f t="shared" si="63"/>
        <v>505260.21</v>
      </c>
      <c r="J67" s="86">
        <f t="shared" si="63"/>
        <v>0</v>
      </c>
      <c r="K67" s="86">
        <f t="shared" si="63"/>
        <v>15516.21</v>
      </c>
      <c r="L67" s="86">
        <f t="shared" si="63"/>
        <v>100942.31</v>
      </c>
      <c r="M67" s="86">
        <f t="shared" si="63"/>
        <v>168082.56</v>
      </c>
      <c r="N67" s="86">
        <f t="shared" si="63"/>
        <v>1379498.4</v>
      </c>
      <c r="O67" s="86">
        <f t="shared" si="63"/>
        <v>142666.66999999998</v>
      </c>
      <c r="P67" s="86">
        <f t="shared" si="63"/>
        <v>144666.66999999998</v>
      </c>
      <c r="Q67" s="86">
        <f t="shared" si="63"/>
        <v>69667.98</v>
      </c>
      <c r="R67" s="86"/>
      <c r="S67" s="153"/>
    </row>
    <row r="68" spans="1:27" ht="24" x14ac:dyDescent="0.2">
      <c r="A68" s="104">
        <v>34</v>
      </c>
      <c r="B68" s="104" t="s">
        <v>933</v>
      </c>
      <c r="C68" s="105" t="s">
        <v>894</v>
      </c>
      <c r="D68" s="104" t="s">
        <v>11</v>
      </c>
      <c r="E68" s="104" t="s">
        <v>962</v>
      </c>
      <c r="F68" s="104" t="s">
        <v>835</v>
      </c>
      <c r="G68" s="102">
        <f t="shared" ref="G68:G70" si="64">+H68+I68</f>
        <v>80000</v>
      </c>
      <c r="H68" s="100">
        <v>60000</v>
      </c>
      <c r="I68" s="102">
        <f t="shared" ref="I68:I70" si="65">ROUNDUP(H68/3,2)</f>
        <v>20000</v>
      </c>
      <c r="J68" s="106"/>
      <c r="K68" s="100">
        <v>0</v>
      </c>
      <c r="L68" s="100">
        <v>0</v>
      </c>
      <c r="M68" s="102">
        <v>13665.35</v>
      </c>
      <c r="N68" s="102">
        <v>16000</v>
      </c>
      <c r="O68" s="102">
        <v>16000</v>
      </c>
      <c r="P68" s="102">
        <v>18000</v>
      </c>
      <c r="Q68" s="102">
        <f>+G68-M68-N68-O68-P68</f>
        <v>16334.649999999994</v>
      </c>
      <c r="R68" s="102" t="s">
        <v>1010</v>
      </c>
      <c r="S68" s="153"/>
      <c r="X68" s="80"/>
      <c r="Y68" s="80"/>
      <c r="Z68" s="80"/>
      <c r="AA68" s="80"/>
    </row>
    <row r="69" spans="1:27" ht="48" x14ac:dyDescent="0.2">
      <c r="A69" s="104">
        <v>35</v>
      </c>
      <c r="B69" s="104" t="s">
        <v>934</v>
      </c>
      <c r="C69" s="105" t="s">
        <v>999</v>
      </c>
      <c r="D69" s="104" t="s">
        <v>11</v>
      </c>
      <c r="E69" s="104" t="s">
        <v>960</v>
      </c>
      <c r="F69" s="104" t="s">
        <v>835</v>
      </c>
      <c r="G69" s="102">
        <f t="shared" si="64"/>
        <v>1275207.47</v>
      </c>
      <c r="H69" s="151">
        <f>502200+454205.6</f>
        <v>956405.6</v>
      </c>
      <c r="I69" s="102">
        <f t="shared" si="65"/>
        <v>318801.87</v>
      </c>
      <c r="J69" s="106"/>
      <c r="K69" s="100">
        <v>0</v>
      </c>
      <c r="L69" s="100">
        <v>10312.66</v>
      </c>
      <c r="M69" s="102">
        <v>39462.239999999998</v>
      </c>
      <c r="N69" s="102">
        <v>1225432.56</v>
      </c>
      <c r="O69" s="102">
        <v>0</v>
      </c>
      <c r="P69" s="102">
        <v>0</v>
      </c>
      <c r="Q69" s="102">
        <v>0</v>
      </c>
      <c r="R69" s="145"/>
      <c r="S69" s="153"/>
      <c r="W69" s="80">
        <v>454205.6</v>
      </c>
      <c r="X69" s="80">
        <v>1134400</v>
      </c>
      <c r="Y69" s="80">
        <f>X69-N69</f>
        <v>-91032.560000000056</v>
      </c>
      <c r="Z69" s="80">
        <f>0.75*Y69</f>
        <v>-68274.420000000042</v>
      </c>
      <c r="AA69" s="80">
        <f>Y69-Z69</f>
        <v>-22758.140000000014</v>
      </c>
    </row>
    <row r="70" spans="1:27" ht="36" x14ac:dyDescent="0.2">
      <c r="A70" s="104">
        <v>36</v>
      </c>
      <c r="B70" s="104" t="s">
        <v>935</v>
      </c>
      <c r="C70" s="105" t="s">
        <v>895</v>
      </c>
      <c r="D70" s="104" t="s">
        <v>11</v>
      </c>
      <c r="E70" s="101" t="s">
        <v>958</v>
      </c>
      <c r="F70" s="104" t="s">
        <v>835</v>
      </c>
      <c r="G70" s="102">
        <f t="shared" si="64"/>
        <v>532500</v>
      </c>
      <c r="H70" s="100">
        <v>399375</v>
      </c>
      <c r="I70" s="102">
        <f t="shared" si="65"/>
        <v>133125</v>
      </c>
      <c r="J70" s="106"/>
      <c r="K70" s="100">
        <v>15516.21</v>
      </c>
      <c r="L70" s="100">
        <v>90629.65</v>
      </c>
      <c r="M70" s="102">
        <v>114954.97</v>
      </c>
      <c r="N70" s="102">
        <v>111399.17</v>
      </c>
      <c r="O70" s="102">
        <v>100000</v>
      </c>
      <c r="P70" s="102">
        <v>100000</v>
      </c>
      <c r="Q70" s="102">
        <v>0</v>
      </c>
      <c r="R70" s="102" t="s">
        <v>1011</v>
      </c>
      <c r="S70" s="153"/>
      <c r="X70" s="80"/>
      <c r="Y70" s="80"/>
      <c r="Z70" s="80"/>
      <c r="AA70" s="80"/>
    </row>
    <row r="71" spans="1:27" ht="24" x14ac:dyDescent="0.2">
      <c r="A71" s="146">
        <v>37</v>
      </c>
      <c r="B71" s="146" t="s">
        <v>993</v>
      </c>
      <c r="C71" s="148" t="s">
        <v>994</v>
      </c>
      <c r="D71" s="146" t="s">
        <v>11</v>
      </c>
      <c r="E71" s="117" t="s">
        <v>1021</v>
      </c>
      <c r="F71" s="146" t="s">
        <v>835</v>
      </c>
      <c r="G71" s="111">
        <f t="shared" ref="G71" si="66">+H71+I71</f>
        <v>133333.34</v>
      </c>
      <c r="H71" s="112">
        <v>100000</v>
      </c>
      <c r="I71" s="111">
        <f t="shared" ref="I71" si="67">ROUNDUP(H71/3,2)</f>
        <v>33333.340000000004</v>
      </c>
      <c r="J71" s="106"/>
      <c r="K71" s="112">
        <v>0</v>
      </c>
      <c r="L71" s="112">
        <v>0</v>
      </c>
      <c r="M71" s="149">
        <v>0</v>
      </c>
      <c r="N71" s="149">
        <v>26666.67</v>
      </c>
      <c r="O71" s="149">
        <v>26666.67</v>
      </c>
      <c r="P71" s="149">
        <v>26666.67</v>
      </c>
      <c r="Q71" s="149">
        <f>26666.66+26666.67</f>
        <v>53333.33</v>
      </c>
      <c r="R71" s="102" t="s">
        <v>1010</v>
      </c>
      <c r="S71" s="153"/>
      <c r="W71" s="80">
        <v>100000</v>
      </c>
      <c r="X71" s="60">
        <v>0</v>
      </c>
      <c r="Y71" s="80">
        <f>X71-N71</f>
        <v>-26666.67</v>
      </c>
      <c r="Z71" s="80">
        <f>0.75*Y71</f>
        <v>-20000.002499999999</v>
      </c>
      <c r="AA71" s="80">
        <f>Y71-Z71</f>
        <v>-6666.6674999999996</v>
      </c>
    </row>
    <row r="72" spans="1:27" ht="48" x14ac:dyDescent="0.2">
      <c r="A72" s="81"/>
      <c r="B72" s="81" t="s">
        <v>949</v>
      </c>
      <c r="C72" s="94" t="s">
        <v>968</v>
      </c>
      <c r="D72" s="81" t="s">
        <v>8</v>
      </c>
      <c r="E72" s="81"/>
      <c r="F72" s="81"/>
      <c r="G72" s="85">
        <f>+G73</f>
        <v>570000</v>
      </c>
      <c r="H72" s="85">
        <f t="shared" ref="H72:Q72" si="68">+H73</f>
        <v>427500</v>
      </c>
      <c r="I72" s="85">
        <f t="shared" si="68"/>
        <v>142500</v>
      </c>
      <c r="J72" s="85">
        <f t="shared" si="68"/>
        <v>0</v>
      </c>
      <c r="K72" s="85">
        <f t="shared" si="68"/>
        <v>62744</v>
      </c>
      <c r="L72" s="85">
        <f t="shared" si="68"/>
        <v>46058.41</v>
      </c>
      <c r="M72" s="85">
        <f t="shared" si="68"/>
        <v>68090.95</v>
      </c>
      <c r="N72" s="85">
        <f t="shared" si="68"/>
        <v>116666.67</v>
      </c>
      <c r="O72" s="85">
        <f>+O73</f>
        <v>113333.33</v>
      </c>
      <c r="P72" s="85">
        <f t="shared" si="68"/>
        <v>113333.33</v>
      </c>
      <c r="Q72" s="85">
        <f t="shared" si="68"/>
        <v>49773.309999999954</v>
      </c>
      <c r="R72" s="85"/>
      <c r="S72" s="153"/>
    </row>
    <row r="73" spans="1:27" ht="24" x14ac:dyDescent="0.2">
      <c r="A73" s="101">
        <v>38</v>
      </c>
      <c r="B73" s="101" t="s">
        <v>950</v>
      </c>
      <c r="C73" s="105" t="s">
        <v>905</v>
      </c>
      <c r="D73" s="104" t="s">
        <v>11</v>
      </c>
      <c r="E73" s="101" t="s">
        <v>1024</v>
      </c>
      <c r="F73" s="104" t="s">
        <v>835</v>
      </c>
      <c r="G73" s="102">
        <f t="shared" ref="G73" si="69">+H73+I73</f>
        <v>570000</v>
      </c>
      <c r="H73" s="100">
        <v>427500</v>
      </c>
      <c r="I73" s="102">
        <f t="shared" ref="I73" si="70">ROUNDUP(H73/3,2)</f>
        <v>142500</v>
      </c>
      <c r="J73" s="106"/>
      <c r="K73" s="100">
        <v>62744</v>
      </c>
      <c r="L73" s="100">
        <v>46058.41</v>
      </c>
      <c r="M73" s="100">
        <v>68090.95</v>
      </c>
      <c r="N73" s="100">
        <v>116666.67</v>
      </c>
      <c r="O73" s="100">
        <v>113333.33</v>
      </c>
      <c r="P73" s="100">
        <v>113333.33</v>
      </c>
      <c r="Q73" s="100">
        <f>+G73-K73-L73-M73-N73-O73-P73</f>
        <v>49773.309999999954</v>
      </c>
      <c r="R73" s="102" t="s">
        <v>1010</v>
      </c>
      <c r="S73" s="153"/>
      <c r="X73" s="80"/>
      <c r="Y73" s="80"/>
      <c r="Z73" s="80"/>
      <c r="AA73" s="80"/>
    </row>
    <row r="74" spans="1:27" x14ac:dyDescent="0.2">
      <c r="A74" s="83"/>
      <c r="B74" s="83" t="s">
        <v>923</v>
      </c>
      <c r="C74" s="97" t="s">
        <v>850</v>
      </c>
      <c r="D74" s="83" t="s">
        <v>8</v>
      </c>
      <c r="E74" s="83"/>
      <c r="F74" s="83"/>
      <c r="G74" s="86">
        <f>+G75</f>
        <v>620000</v>
      </c>
      <c r="H74" s="86">
        <f t="shared" ref="H74:Q74" si="71">+H75</f>
        <v>465000</v>
      </c>
      <c r="I74" s="86">
        <f t="shared" si="71"/>
        <v>155000</v>
      </c>
      <c r="J74" s="86">
        <f t="shared" si="71"/>
        <v>0</v>
      </c>
      <c r="K74" s="86">
        <f t="shared" si="71"/>
        <v>0</v>
      </c>
      <c r="L74" s="86">
        <f t="shared" si="71"/>
        <v>145614.29999999999</v>
      </c>
      <c r="M74" s="86">
        <f t="shared" si="71"/>
        <v>26387.41</v>
      </c>
      <c r="N74" s="86">
        <f t="shared" si="71"/>
        <v>53333.33</v>
      </c>
      <c r="O74" s="86">
        <f>+O75</f>
        <v>91840.66</v>
      </c>
      <c r="P74" s="86">
        <f t="shared" si="71"/>
        <v>91840.66</v>
      </c>
      <c r="Q74" s="86">
        <f t="shared" si="71"/>
        <v>210983.64000000004</v>
      </c>
      <c r="R74" s="86"/>
      <c r="S74" s="153"/>
    </row>
    <row r="75" spans="1:27" ht="24" x14ac:dyDescent="0.2">
      <c r="A75" s="104">
        <v>39</v>
      </c>
      <c r="B75" s="104" t="s">
        <v>932</v>
      </c>
      <c r="C75" s="105" t="s">
        <v>924</v>
      </c>
      <c r="D75" s="104" t="s">
        <v>11</v>
      </c>
      <c r="E75" s="98" t="s">
        <v>959</v>
      </c>
      <c r="F75" s="104" t="s">
        <v>835</v>
      </c>
      <c r="G75" s="102">
        <f t="shared" ref="G75" si="72">+H75+I75</f>
        <v>620000</v>
      </c>
      <c r="H75" s="100">
        <v>465000</v>
      </c>
      <c r="I75" s="102">
        <f t="shared" ref="I75" si="73">ROUNDUP(H75/3,2)</f>
        <v>155000</v>
      </c>
      <c r="J75" s="106"/>
      <c r="K75" s="112">
        <v>0</v>
      </c>
      <c r="L75" s="112">
        <v>145614.29999999999</v>
      </c>
      <c r="M75" s="111">
        <v>26387.41</v>
      </c>
      <c r="N75" s="111">
        <v>53333.33</v>
      </c>
      <c r="O75" s="111">
        <v>91840.66</v>
      </c>
      <c r="P75" s="111">
        <v>91840.66</v>
      </c>
      <c r="Q75" s="111">
        <f>+G75-L75-M75-N75-O75-P75</f>
        <v>210983.64000000004</v>
      </c>
      <c r="R75" s="102" t="s">
        <v>1010</v>
      </c>
      <c r="S75" s="153"/>
      <c r="X75" s="80">
        <v>203300</v>
      </c>
      <c r="Y75" s="80">
        <f>X75-N75</f>
        <v>149966.66999999998</v>
      </c>
      <c r="Z75" s="80">
        <f>0.75*Y75</f>
        <v>112475.00249999999</v>
      </c>
      <c r="AA75" s="80">
        <f>Y75-Z75</f>
        <v>37491.667499999996</v>
      </c>
    </row>
    <row r="76" spans="1:27" x14ac:dyDescent="0.2">
      <c r="A76" s="83"/>
      <c r="B76" s="83" t="s">
        <v>901</v>
      </c>
      <c r="C76" s="97" t="s">
        <v>970</v>
      </c>
      <c r="D76" s="83" t="s">
        <v>8</v>
      </c>
      <c r="E76" s="83"/>
      <c r="F76" s="83"/>
      <c r="G76" s="86">
        <f t="shared" ref="G76:Q76" si="74">SUM(G77:G77)</f>
        <v>150000</v>
      </c>
      <c r="H76" s="86">
        <f t="shared" si="74"/>
        <v>112500</v>
      </c>
      <c r="I76" s="86">
        <f t="shared" si="74"/>
        <v>37500</v>
      </c>
      <c r="J76" s="86">
        <f t="shared" si="74"/>
        <v>0</v>
      </c>
      <c r="K76" s="86">
        <f t="shared" si="74"/>
        <v>0</v>
      </c>
      <c r="L76" s="86">
        <f t="shared" si="74"/>
        <v>7245.33</v>
      </c>
      <c r="M76" s="86">
        <f t="shared" si="74"/>
        <v>38870.400000000001</v>
      </c>
      <c r="N76" s="86">
        <f t="shared" si="74"/>
        <v>50000</v>
      </c>
      <c r="O76" s="86">
        <f>SUM(O77:O77)</f>
        <v>53884.27</v>
      </c>
      <c r="P76" s="86">
        <f t="shared" si="74"/>
        <v>0</v>
      </c>
      <c r="Q76" s="86">
        <f t="shared" si="74"/>
        <v>0</v>
      </c>
      <c r="R76" s="86"/>
      <c r="S76" s="153"/>
    </row>
    <row r="77" spans="1:27" ht="24" x14ac:dyDescent="0.2">
      <c r="A77" s="104">
        <v>40</v>
      </c>
      <c r="B77" s="104" t="s">
        <v>936</v>
      </c>
      <c r="C77" s="105" t="s">
        <v>902</v>
      </c>
      <c r="D77" s="104" t="s">
        <v>11</v>
      </c>
      <c r="E77" s="104" t="s">
        <v>1020</v>
      </c>
      <c r="F77" s="104" t="s">
        <v>834</v>
      </c>
      <c r="G77" s="102">
        <f t="shared" ref="G77" si="75">+H77+I77</f>
        <v>150000</v>
      </c>
      <c r="H77" s="100">
        <v>112500</v>
      </c>
      <c r="I77" s="102">
        <f t="shared" ref="I77" si="76">ROUNDUP(H77/3,2)</f>
        <v>37500</v>
      </c>
      <c r="J77" s="106"/>
      <c r="K77" s="100">
        <v>0</v>
      </c>
      <c r="L77" s="100">
        <v>7245.33</v>
      </c>
      <c r="M77" s="100">
        <v>38870.400000000001</v>
      </c>
      <c r="N77" s="100">
        <v>50000</v>
      </c>
      <c r="O77" s="100">
        <v>53884.27</v>
      </c>
      <c r="P77" s="100">
        <v>0</v>
      </c>
      <c r="Q77" s="100">
        <v>0</v>
      </c>
      <c r="R77" s="102" t="s">
        <v>1010</v>
      </c>
      <c r="S77" s="153"/>
      <c r="X77" s="80"/>
      <c r="Y77" s="80"/>
      <c r="Z77" s="80"/>
      <c r="AA77" s="80"/>
    </row>
    <row r="78" spans="1:27" ht="22.5" x14ac:dyDescent="0.2">
      <c r="A78" s="159" t="s">
        <v>1004</v>
      </c>
      <c r="B78" s="160" t="s">
        <v>1005</v>
      </c>
      <c r="C78" s="161" t="s">
        <v>902</v>
      </c>
      <c r="D78" s="160" t="s">
        <v>1007</v>
      </c>
      <c r="E78" s="160" t="s">
        <v>1006</v>
      </c>
      <c r="F78" s="160" t="s">
        <v>834</v>
      </c>
      <c r="G78" s="156">
        <v>150000</v>
      </c>
      <c r="H78" s="157">
        <v>112500</v>
      </c>
      <c r="I78" s="156">
        <f t="shared" ref="I78" si="77">ROUNDUP(H78/3,2)</f>
        <v>37500</v>
      </c>
      <c r="J78" s="158"/>
      <c r="K78" s="157">
        <v>0</v>
      </c>
      <c r="L78" s="157">
        <v>7245.33</v>
      </c>
      <c r="M78" s="157">
        <v>38870.400000000001</v>
      </c>
      <c r="N78" s="157">
        <v>50000</v>
      </c>
      <c r="O78" s="157">
        <f>+G78-L78-M78-N78</f>
        <v>53884.270000000019</v>
      </c>
      <c r="P78" s="157"/>
      <c r="Q78" s="157"/>
      <c r="R78" s="156"/>
      <c r="S78" s="153"/>
      <c r="X78" s="80"/>
      <c r="Y78" s="80"/>
      <c r="Z78" s="80"/>
      <c r="AA78" s="80"/>
    </row>
    <row r="79" spans="1:27" ht="24" x14ac:dyDescent="0.2">
      <c r="A79" s="119"/>
      <c r="B79" s="119" t="s">
        <v>937</v>
      </c>
      <c r="C79" s="120" t="s">
        <v>966</v>
      </c>
      <c r="D79" s="119" t="s">
        <v>840</v>
      </c>
      <c r="E79" s="119"/>
      <c r="F79" s="119"/>
      <c r="G79" s="121">
        <f>+G83+G80+G85</f>
        <v>3841842.2399999998</v>
      </c>
      <c r="H79" s="121">
        <f t="shared" ref="H79:M79" si="78">+H83+H80+H85</f>
        <v>3457658.01</v>
      </c>
      <c r="I79" s="121">
        <f t="shared" si="78"/>
        <v>384184.23</v>
      </c>
      <c r="J79" s="121">
        <f t="shared" si="78"/>
        <v>0</v>
      </c>
      <c r="K79" s="121">
        <f t="shared" si="78"/>
        <v>394505.81</v>
      </c>
      <c r="L79" s="121">
        <f t="shared" si="78"/>
        <v>556413.30000000005</v>
      </c>
      <c r="M79" s="121">
        <f t="shared" si="78"/>
        <v>189722.71</v>
      </c>
      <c r="N79" s="121">
        <f>+N83+N80+N85</f>
        <v>1011440.8899999999</v>
      </c>
      <c r="O79" s="121">
        <f>+O83+O80+O85</f>
        <v>936165.77</v>
      </c>
      <c r="P79" s="121">
        <f t="shared" ref="P79" si="79">+P83+P80+P85</f>
        <v>727220.40999999992</v>
      </c>
      <c r="Q79" s="121">
        <f t="shared" ref="Q79" si="80">+Q83+Q80+Q85</f>
        <v>26373.350000000006</v>
      </c>
      <c r="R79" s="121"/>
      <c r="S79" s="153"/>
      <c r="T79" s="80"/>
    </row>
    <row r="80" spans="1:27" ht="24" x14ac:dyDescent="0.2">
      <c r="A80" s="83"/>
      <c r="B80" s="83" t="s">
        <v>898</v>
      </c>
      <c r="C80" s="97" t="s">
        <v>896</v>
      </c>
      <c r="D80" s="83" t="s">
        <v>8</v>
      </c>
      <c r="E80" s="83"/>
      <c r="F80" s="83"/>
      <c r="G80" s="86">
        <f>SUM(G81:G82)</f>
        <v>555555.56000000006</v>
      </c>
      <c r="H80" s="86">
        <f t="shared" ref="H80:N80" si="81">SUM(H81:H82)</f>
        <v>500000</v>
      </c>
      <c r="I80" s="86">
        <f t="shared" si="81"/>
        <v>55555.560000000005</v>
      </c>
      <c r="J80" s="86">
        <f t="shared" si="81"/>
        <v>0</v>
      </c>
      <c r="K80" s="86">
        <f t="shared" si="81"/>
        <v>0</v>
      </c>
      <c r="L80" s="86">
        <f t="shared" si="81"/>
        <v>0</v>
      </c>
      <c r="M80" s="86">
        <f t="shared" si="81"/>
        <v>15773.65</v>
      </c>
      <c r="N80" s="86">
        <f t="shared" si="81"/>
        <v>230555.56</v>
      </c>
      <c r="O80" s="86">
        <f>SUM(O81:O82)</f>
        <v>175000</v>
      </c>
      <c r="P80" s="86">
        <f t="shared" ref="P80" si="82">SUM(P81:P82)</f>
        <v>134226.35000000003</v>
      </c>
      <c r="Q80" s="86">
        <f t="shared" ref="Q80" si="83">SUM(Q81:Q82)</f>
        <v>0</v>
      </c>
      <c r="R80" s="86"/>
      <c r="S80" s="153"/>
    </row>
    <row r="81" spans="1:27" ht="48" x14ac:dyDescent="0.2">
      <c r="A81" s="104">
        <v>41</v>
      </c>
      <c r="B81" s="104" t="s">
        <v>899</v>
      </c>
      <c r="C81" s="105" t="s">
        <v>957</v>
      </c>
      <c r="D81" s="104" t="s">
        <v>11</v>
      </c>
      <c r="E81" s="104" t="s">
        <v>833</v>
      </c>
      <c r="F81" s="104" t="s">
        <v>835</v>
      </c>
      <c r="G81" s="102">
        <f t="shared" ref="G81:G82" si="84">+H81+I81</f>
        <v>555555.56000000006</v>
      </c>
      <c r="H81" s="100">
        <v>500000</v>
      </c>
      <c r="I81" s="102">
        <f t="shared" ref="I81:I82" si="85">ROUNDUP(H81/9,2)</f>
        <v>55555.560000000005</v>
      </c>
      <c r="J81" s="106"/>
      <c r="K81" s="100">
        <v>0</v>
      </c>
      <c r="L81" s="100">
        <v>0</v>
      </c>
      <c r="M81" s="100">
        <v>15773.65</v>
      </c>
      <c r="N81" s="102">
        <v>230555.56</v>
      </c>
      <c r="O81" s="102">
        <v>175000</v>
      </c>
      <c r="P81" s="102">
        <f>+G81-M81-N81-O81</f>
        <v>134226.35000000003</v>
      </c>
      <c r="Q81" s="102">
        <v>0</v>
      </c>
      <c r="R81" s="102" t="s">
        <v>1010</v>
      </c>
      <c r="S81" s="153"/>
    </row>
    <row r="82" spans="1:27" ht="36" x14ac:dyDescent="0.2">
      <c r="A82" s="104">
        <v>42</v>
      </c>
      <c r="B82" s="104" t="s">
        <v>900</v>
      </c>
      <c r="C82" s="105" t="s">
        <v>897</v>
      </c>
      <c r="D82" s="104" t="s">
        <v>11</v>
      </c>
      <c r="E82" s="101" t="s">
        <v>958</v>
      </c>
      <c r="F82" s="104" t="s">
        <v>835</v>
      </c>
      <c r="G82" s="102">
        <f t="shared" si="84"/>
        <v>0</v>
      </c>
      <c r="H82" s="100">
        <v>0</v>
      </c>
      <c r="I82" s="102">
        <f t="shared" si="85"/>
        <v>0</v>
      </c>
      <c r="J82" s="106"/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2">
        <v>0</v>
      </c>
      <c r="Q82" s="102">
        <v>0</v>
      </c>
      <c r="R82" s="102"/>
      <c r="S82" s="154"/>
      <c r="X82" s="80"/>
      <c r="Y82" s="80"/>
      <c r="Z82" s="80"/>
      <c r="AA82" s="80"/>
    </row>
    <row r="83" spans="1:27" ht="24" x14ac:dyDescent="0.2">
      <c r="A83" s="83"/>
      <c r="B83" s="83" t="s">
        <v>938</v>
      </c>
      <c r="C83" s="97" t="s">
        <v>925</v>
      </c>
      <c r="D83" s="83" t="s">
        <v>8</v>
      </c>
      <c r="E83" s="83"/>
      <c r="F83" s="83"/>
      <c r="G83" s="86">
        <f>+G84</f>
        <v>250000</v>
      </c>
      <c r="H83" s="86">
        <f t="shared" ref="H83:Q83" si="86">+H84</f>
        <v>225000</v>
      </c>
      <c r="I83" s="86">
        <f t="shared" si="86"/>
        <v>25000</v>
      </c>
      <c r="J83" s="86">
        <f t="shared" si="86"/>
        <v>0</v>
      </c>
      <c r="K83" s="86">
        <f t="shared" si="86"/>
        <v>0</v>
      </c>
      <c r="L83" s="86">
        <f t="shared" si="86"/>
        <v>41592.839999999997</v>
      </c>
      <c r="M83" s="86">
        <f t="shared" si="86"/>
        <v>16665.34</v>
      </c>
      <c r="N83" s="86">
        <f t="shared" si="86"/>
        <v>47552</v>
      </c>
      <c r="O83" s="86">
        <f>+O84</f>
        <v>117816.47</v>
      </c>
      <c r="P83" s="86">
        <f t="shared" si="86"/>
        <v>0</v>
      </c>
      <c r="Q83" s="86">
        <f t="shared" si="86"/>
        <v>26373.350000000006</v>
      </c>
      <c r="R83" s="86"/>
      <c r="S83" s="153"/>
    </row>
    <row r="84" spans="1:27" ht="24" x14ac:dyDescent="0.2">
      <c r="A84" s="104">
        <v>43</v>
      </c>
      <c r="B84" s="104" t="s">
        <v>939</v>
      </c>
      <c r="C84" s="134" t="s">
        <v>926</v>
      </c>
      <c r="D84" s="104" t="s">
        <v>11</v>
      </c>
      <c r="E84" s="104" t="s">
        <v>919</v>
      </c>
      <c r="F84" s="104" t="s">
        <v>835</v>
      </c>
      <c r="G84" s="102">
        <f t="shared" ref="G84" si="87">+H84+I84</f>
        <v>250000</v>
      </c>
      <c r="H84" s="102">
        <v>225000</v>
      </c>
      <c r="I84" s="102">
        <f>ROUNDUP(H84/9,2)</f>
        <v>25000</v>
      </c>
      <c r="J84" s="106"/>
      <c r="K84" s="130">
        <v>0</v>
      </c>
      <c r="L84" s="106">
        <v>41592.839999999997</v>
      </c>
      <c r="M84" s="130">
        <v>16665.34</v>
      </c>
      <c r="N84" s="130">
        <v>47552</v>
      </c>
      <c r="O84" s="106">
        <v>117816.47</v>
      </c>
      <c r="P84" s="106">
        <v>0</v>
      </c>
      <c r="Q84" s="106">
        <f>+G84-L84-M84-N84-O84</f>
        <v>26373.350000000006</v>
      </c>
      <c r="R84" s="102" t="s">
        <v>1010</v>
      </c>
      <c r="S84" s="154"/>
    </row>
    <row r="85" spans="1:27" ht="24" x14ac:dyDescent="0.2">
      <c r="A85" s="83"/>
      <c r="B85" s="83" t="s">
        <v>940</v>
      </c>
      <c r="C85" s="97" t="s">
        <v>889</v>
      </c>
      <c r="D85" s="83" t="s">
        <v>8</v>
      </c>
      <c r="E85" s="83"/>
      <c r="F85" s="83"/>
      <c r="G85" s="86">
        <f t="shared" ref="G85:Q85" si="88">+G86</f>
        <v>3036286.6799999997</v>
      </c>
      <c r="H85" s="86">
        <f t="shared" si="88"/>
        <v>2732658.01</v>
      </c>
      <c r="I85" s="86">
        <f t="shared" si="88"/>
        <v>303628.67</v>
      </c>
      <c r="J85" s="86">
        <f t="shared" si="88"/>
        <v>0</v>
      </c>
      <c r="K85" s="86">
        <f t="shared" si="88"/>
        <v>394505.81</v>
      </c>
      <c r="L85" s="86">
        <f t="shared" si="88"/>
        <v>514820.46</v>
      </c>
      <c r="M85" s="86">
        <f t="shared" si="88"/>
        <v>157283.72</v>
      </c>
      <c r="N85" s="86">
        <f t="shared" si="88"/>
        <v>733333.33</v>
      </c>
      <c r="O85" s="86">
        <f>+O86</f>
        <v>643349.30000000005</v>
      </c>
      <c r="P85" s="86">
        <f t="shared" si="88"/>
        <v>592994.05999999982</v>
      </c>
      <c r="Q85" s="86">
        <f t="shared" si="88"/>
        <v>0</v>
      </c>
      <c r="R85" s="86"/>
      <c r="S85" s="153"/>
    </row>
    <row r="86" spans="1:27" ht="36" x14ac:dyDescent="0.2">
      <c r="A86" s="104">
        <v>44</v>
      </c>
      <c r="B86" s="104" t="s">
        <v>941</v>
      </c>
      <c r="C86" s="105" t="s">
        <v>892</v>
      </c>
      <c r="D86" s="104" t="s">
        <v>11</v>
      </c>
      <c r="E86" s="101" t="s">
        <v>958</v>
      </c>
      <c r="F86" s="104" t="s">
        <v>835</v>
      </c>
      <c r="G86" s="102">
        <f t="shared" ref="G86" si="89">+H86+I86</f>
        <v>3036286.6799999997</v>
      </c>
      <c r="H86" s="102">
        <f>1932658.01+800000</f>
        <v>2732658.01</v>
      </c>
      <c r="I86" s="102">
        <f>ROUNDUP(H86/9,2)</f>
        <v>303628.67</v>
      </c>
      <c r="J86" s="106"/>
      <c r="K86" s="106">
        <v>394505.81</v>
      </c>
      <c r="L86" s="106">
        <v>514820.46</v>
      </c>
      <c r="M86" s="130">
        <v>157283.72</v>
      </c>
      <c r="N86" s="102">
        <v>733333.33</v>
      </c>
      <c r="O86" s="102">
        <v>643349.30000000005</v>
      </c>
      <c r="P86" s="102">
        <f>+G86-K86-L86-M86-N86-O86</f>
        <v>592994.05999999982</v>
      </c>
      <c r="Q86" s="102">
        <v>0</v>
      </c>
      <c r="R86" s="102"/>
      <c r="S86" s="153"/>
      <c r="T86" s="130"/>
      <c r="V86" s="80"/>
      <c r="W86" s="80">
        <v>800000</v>
      </c>
      <c r="X86" s="80"/>
      <c r="Y86" s="80"/>
      <c r="Z86" s="80"/>
      <c r="AA86" s="80"/>
    </row>
    <row r="87" spans="1:27" ht="24" x14ac:dyDescent="0.2">
      <c r="A87" s="91"/>
      <c r="B87" s="92" t="s">
        <v>942</v>
      </c>
      <c r="C87" s="96" t="s">
        <v>972</v>
      </c>
      <c r="D87" s="92" t="s">
        <v>2</v>
      </c>
      <c r="E87" s="92"/>
      <c r="F87" s="92"/>
      <c r="G87" s="90">
        <f>2141298.35+0.46</f>
        <v>2141298.81</v>
      </c>
      <c r="H87" s="90">
        <f>+G87</f>
        <v>2141298.81</v>
      </c>
      <c r="I87" s="90">
        <f t="shared" ref="H87:Q89" si="90">+I88</f>
        <v>0</v>
      </c>
      <c r="J87" s="90">
        <f t="shared" si="90"/>
        <v>0</v>
      </c>
      <c r="K87" s="90">
        <v>100000</v>
      </c>
      <c r="L87" s="90">
        <v>600000</v>
      </c>
      <c r="M87" s="90">
        <v>803673.98</v>
      </c>
      <c r="N87" s="90">
        <f>+H87-K87-L87-M87</f>
        <v>637624.83000000007</v>
      </c>
      <c r="O87" s="90">
        <v>0</v>
      </c>
      <c r="P87" s="90">
        <v>0</v>
      </c>
      <c r="Q87" s="90">
        <v>0</v>
      </c>
      <c r="R87" s="90"/>
      <c r="S87" s="153"/>
      <c r="V87" s="80"/>
    </row>
    <row r="88" spans="1:27" ht="24" x14ac:dyDescent="0.2">
      <c r="A88" s="119"/>
      <c r="B88" s="119" t="s">
        <v>952</v>
      </c>
      <c r="C88" s="120" t="s">
        <v>965</v>
      </c>
      <c r="D88" s="119" t="s">
        <v>840</v>
      </c>
      <c r="E88" s="119"/>
      <c r="F88" s="119"/>
      <c r="G88" s="121">
        <f>+G89</f>
        <v>700000</v>
      </c>
      <c r="H88" s="121">
        <f t="shared" si="90"/>
        <v>700000</v>
      </c>
      <c r="I88" s="121">
        <f t="shared" si="90"/>
        <v>0</v>
      </c>
      <c r="J88" s="121">
        <f t="shared" si="90"/>
        <v>0</v>
      </c>
      <c r="K88" s="121">
        <f t="shared" si="90"/>
        <v>100000</v>
      </c>
      <c r="L88" s="121">
        <f t="shared" si="90"/>
        <v>600000</v>
      </c>
      <c r="M88" s="121">
        <f t="shared" si="90"/>
        <v>0</v>
      </c>
      <c r="N88" s="121">
        <f t="shared" si="90"/>
        <v>0</v>
      </c>
      <c r="O88" s="121">
        <f>+O89</f>
        <v>0</v>
      </c>
      <c r="P88" s="121">
        <f t="shared" si="90"/>
        <v>0</v>
      </c>
      <c r="Q88" s="121">
        <f t="shared" si="90"/>
        <v>0</v>
      </c>
      <c r="R88" s="121"/>
      <c r="S88" s="153"/>
    </row>
    <row r="89" spans="1:27" x14ac:dyDescent="0.2">
      <c r="A89" s="81"/>
      <c r="B89" s="81" t="s">
        <v>953</v>
      </c>
      <c r="C89" s="94" t="s">
        <v>841</v>
      </c>
      <c r="D89" s="81" t="s">
        <v>8</v>
      </c>
      <c r="E89" s="81"/>
      <c r="F89" s="81"/>
      <c r="G89" s="85">
        <f>+G90</f>
        <v>700000</v>
      </c>
      <c r="H89" s="85">
        <f t="shared" si="90"/>
        <v>700000</v>
      </c>
      <c r="I89" s="85">
        <f t="shared" si="90"/>
        <v>0</v>
      </c>
      <c r="J89" s="85">
        <f t="shared" si="90"/>
        <v>0</v>
      </c>
      <c r="K89" s="85">
        <f t="shared" si="90"/>
        <v>100000</v>
      </c>
      <c r="L89" s="85">
        <f t="shared" si="90"/>
        <v>600000</v>
      </c>
      <c r="M89" s="85">
        <f t="shared" si="90"/>
        <v>0</v>
      </c>
      <c r="N89" s="85">
        <f t="shared" si="90"/>
        <v>0</v>
      </c>
      <c r="O89" s="85">
        <f>+O90</f>
        <v>0</v>
      </c>
      <c r="P89" s="85">
        <f t="shared" si="90"/>
        <v>0</v>
      </c>
      <c r="Q89" s="85">
        <f t="shared" si="90"/>
        <v>0</v>
      </c>
      <c r="R89" s="85"/>
      <c r="S89" s="153"/>
    </row>
    <row r="90" spans="1:27" x14ac:dyDescent="0.2">
      <c r="A90" s="104">
        <v>45</v>
      </c>
      <c r="B90" s="104" t="s">
        <v>964</v>
      </c>
      <c r="C90" s="105" t="s">
        <v>963</v>
      </c>
      <c r="D90" s="104" t="s">
        <v>11</v>
      </c>
      <c r="E90" s="101" t="s">
        <v>1022</v>
      </c>
      <c r="F90" s="104" t="s">
        <v>835</v>
      </c>
      <c r="G90" s="102">
        <v>700000</v>
      </c>
      <c r="H90" s="102">
        <v>700000</v>
      </c>
      <c r="I90" s="102">
        <v>0</v>
      </c>
      <c r="J90" s="106"/>
      <c r="K90" s="106">
        <v>100000</v>
      </c>
      <c r="L90" s="113">
        <v>600000</v>
      </c>
      <c r="M90" s="106">
        <v>0</v>
      </c>
      <c r="N90" s="102">
        <v>0</v>
      </c>
      <c r="O90" s="102">
        <v>0</v>
      </c>
      <c r="P90" s="102">
        <v>0</v>
      </c>
      <c r="Q90" s="102">
        <v>0</v>
      </c>
      <c r="R90" s="102"/>
      <c r="S90" s="153"/>
    </row>
    <row r="91" spans="1:27" ht="15" x14ac:dyDescent="0.25">
      <c r="G91" s="144"/>
      <c r="H91" s="144"/>
      <c r="I91" s="144"/>
      <c r="K91" s="144"/>
      <c r="L91" s="144"/>
      <c r="M91" s="144"/>
      <c r="N91" s="144"/>
      <c r="O91" s="144"/>
      <c r="P91" s="144"/>
      <c r="Q91" s="144"/>
      <c r="X91" s="80"/>
      <c r="Y91" s="80"/>
      <c r="Z91" s="80"/>
      <c r="AA91" s="80"/>
    </row>
    <row r="92" spans="1:27" hidden="1" x14ac:dyDescent="0.2">
      <c r="N92" s="80">
        <v>10887118.74</v>
      </c>
      <c r="O92" s="80">
        <v>9348296.6600000001</v>
      </c>
      <c r="X92" s="80">
        <v>241071.59639999998</v>
      </c>
      <c r="Y92">
        <v>0</v>
      </c>
      <c r="Z92" s="80">
        <v>0</v>
      </c>
      <c r="AA92" s="80">
        <v>0</v>
      </c>
    </row>
    <row r="93" spans="1:27" hidden="1" x14ac:dyDescent="0.2">
      <c r="T93" s="80"/>
    </row>
    <row r="94" spans="1:27" hidden="1" x14ac:dyDescent="0.2">
      <c r="Y94" s="80">
        <f>SUBTOTAL(9,Y8:Y92)</f>
        <v>738360.77</v>
      </c>
      <c r="Z94" s="80">
        <f>SUBTOTAL(9,Z8:Z92)</f>
        <v>555462.26100000006</v>
      </c>
      <c r="AA94" s="80">
        <f>SUBTOTAL(9,AA8:AA92)</f>
        <v>182898.50900000002</v>
      </c>
    </row>
    <row r="95" spans="1:27" hidden="1" x14ac:dyDescent="0.2">
      <c r="W95" s="80">
        <v>5257692</v>
      </c>
    </row>
    <row r="96" spans="1:27" hidden="1" x14ac:dyDescent="0.2">
      <c r="M96" t="s">
        <v>1000</v>
      </c>
      <c r="N96" s="80">
        <v>241071.59639999998</v>
      </c>
    </row>
    <row r="97" spans="23:23" hidden="1" x14ac:dyDescent="0.2"/>
    <row r="98" spans="23:23" x14ac:dyDescent="0.2">
      <c r="W98" s="80">
        <v>5573154</v>
      </c>
    </row>
    <row r="101" spans="23:23" x14ac:dyDescent="0.2">
      <c r="W101" s="80">
        <f>+W98/1.06</f>
        <v>5257692.452830188</v>
      </c>
    </row>
  </sheetData>
  <autoFilter ref="A3:R90" xr:uid="{00000000-0009-0000-0000-000004000000}"/>
  <pageMargins left="0.25" right="0.25" top="0.75" bottom="0.75" header="0.3" footer="0.3"/>
  <pageSetup paperSize="8" scale="72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2026-07-24T13:32:15Z</cp:lastPrinted>
  <dcterms:created xsi:type="dcterms:W3CDTF">2017-02-15T08:56:09Z</dcterms:created>
  <dcterms:modified xsi:type="dcterms:W3CDTF">2026-07-24T13:32:43Z</dcterms:modified>
</cp:coreProperties>
</file>